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10" windowHeight="1236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<sst xmlns="http://schemas.openxmlformats.org/spreadsheetml/2006/main" count="3663" uniqueCount="2967">
  <si>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</si>
  <si>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</si>
  <si>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</si>
  <si>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</si>
  <si>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</si>
  <si>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</si>
  <si>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</si>
  <si>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</si>
  <si>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</si>
  <si>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</si>
  <si>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</si>
  <si>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</si>
  <si>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</si>
  <si>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</si>
  <si>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</si>
  <si>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</si>
  <si>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</si>
  <si>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</si>
  <si>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</si>
  <si>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</si>
  <si>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</si>
  <si>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</si>
  <si>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</si>
  <si>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</si>
  <si>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</si>
  <si>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</si>
  <si>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</si>
  <si>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</si>
  <si>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</si>
  <si>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</si>
  <si>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</si>
  <si>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</si>
  <si>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</si>
  <si>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</si>
  <si>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</si>
  <si>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</si>
  <si>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</si>
  <si>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</si>
  <si>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</si>
  <si>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</si>
  <si>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</si>
  <si>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</si>
  <si>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</si>
  <si>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</si>
  <si>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</si>
  <si>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</si>
  <si>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</si>
  <si>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</si>
  <si>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</si>
  <si>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</si>
  <si>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</si>
  <si>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</si>
  <si>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</si>
  <si>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</si>
  <si>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</si>
  <si>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</si>
  <si>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</si>
  <si>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</si>
  <si>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</si>
  <si>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</si>
  <si>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</si>
  <si>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</si>
  <si>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</si>
  <si>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</si>
  <si>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</si>
  <si>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</si>
  <si>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</si>
  <si>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</si>
  <si>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</si>
  <si>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</si>
  <si>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</si>
  <si>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</si>
  <si>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</si>
  <si>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</si>
  <si>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</si>
  <si>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</si>
  <si>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</si>
  <si>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</si>
  <si>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</si>
  <si>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</si>
  <si>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</si>
  <si>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</si>
  <si>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</si>
  <si>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</si>
  <si>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</si>
  <si>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</si>
  <si>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</si>
  <si>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</si>
  <si>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</si>
  <si>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</si>
  <si>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</si>
  <si>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</si>
  <si>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</si>
  <si>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</si>
  <si>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</si>
  <si>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</si>
  <si>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</si>
  <si>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</si>
  <si>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</si>
  <si>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</si>
  <si>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</si>
  <si>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</si>
  <si>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</si>
  <si>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</si>
  <si>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</si>
  <si>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</si>
  <si>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</si>
  <si>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</si>
  <si>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</si>
  <si>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</si>
  <si>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</si>
  <si>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</si>
  <si>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</si>
  <si>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</si>
  <si>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</si>
  <si>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</si>
  <si>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</si>
  <si>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</si>
  <si>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</si>
  <si>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</si>
  <si>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</si>
  <si>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</si>
  <si>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</si>
  <si>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</si>
  <si>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</si>
  <si>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</si>
  <si>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</si>
  <si>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</si>
  <si>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</si>
  <si>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</si>
  <si>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</si>
  <si>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</si>
  <si>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</si>
  <si>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</si>
  <si>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</si>
  <si>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</si>
  <si>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</si>
  <si>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</si>
  <si>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</si>
  <si>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</si>
  <si>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</si>
  <si>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</si>
  <si>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</si>
  <si>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</si>
  <si>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</si>
  <si>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</si>
  <si>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</si>
  <si>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</si>
  <si>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</si>
  <si>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</si>
  <si>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</si>
  <si>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</si>
  <si>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</si>
  <si>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</si>
  <si>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</si>
  <si>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</si>
  <si>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</si>
  <si>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</si>
  <si>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</si>
  <si>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</si>
  <si>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</si>
  <si>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</si>
  <si>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</si>
  <si>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</si>
  <si>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</si>
  <si>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</si>
  <si>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</si>
  <si>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</si>
  <si>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</si>
  <si>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</si>
  <si>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</si>
  <si>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</si>
  <si>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</si>
  <si>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</si>
  <si>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</si>
  <si>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</si>
  <si>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</si>
  <si>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</si>
  <si>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</si>
  <si>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</si>
  <si>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</si>
  <si>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</si>
  <si>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</si>
  <si>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</si>
  <si>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</si>
  <si>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</si>
  <si>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</si>
  <si>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</si>
  <si>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</si>
  <si>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</si>
  <si>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</si>
  <si>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</si>
  <si>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</si>
  <si>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</si>
  <si>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</si>
  <si>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</si>
  <si>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</si>
  <si>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</si>
  <si>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</si>
  <si>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</si>
  <si>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</si>
  <si>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</si>
  <si>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</si>
  <si>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</si>
  <si>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</si>
  <si>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</si>
  <si>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</si>
  <si>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</si>
  <si>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</si>
  <si>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</si>
  <si>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</si>
  <si>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</si>
  <si>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</si>
  <si>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</si>
  <si>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</si>
  <si>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</si>
  <si>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</si>
  <si>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</si>
  <si>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</si>
  <si>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</si>
  <si>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</si>
  <si>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</si>
  <si>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</si>
  <si>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</si>
  <si>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</si>
  <si>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</si>
  <si>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</si>
  <si>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</si>
  <si>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</si>
  <si>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</si>
  <si>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</si>
  <si>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</si>
  <si>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</si>
  <si>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</si>
  <si>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</si>
  <si>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</si>
  <si>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</si>
  <si>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</si>
  <si>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</si>
  <si>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</si>
  <si>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</si>
  <si>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</si>
  <si>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</si>
  <si>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</si>
  <si>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</si>
  <si>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</si>
  <si>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</si>
  <si>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</si>
  <si>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</si>
  <si>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</si>
  <si>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</si>
  <si>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</si>
  <si>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</si>
  <si>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</si>
  <si>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</si>
  <si>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</si>
  <si>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</si>
  <si>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</si>
  <si>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</si>
  <si>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</si>
  <si>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</si>
  <si>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</si>
  <si>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</si>
  <si>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</si>
  <si>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</si>
  <si>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</si>
  <si>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</si>
  <si>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</si>
  <si>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</si>
  <si>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</si>
  <si>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</si>
  <si>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</si>
  <si>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</si>
  <si>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</si>
  <si>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</si>
  <si>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</si>
  <si>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</si>
  <si>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</si>
  <si>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</si>
  <si>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</si>
  <si>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</si>
  <si>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</si>
  <si>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</si>
  <si>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</si>
  <si>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</si>
  <si>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</si>
  <si>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</si>
  <si>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</si>
  <si>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</si>
  <si>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</si>
  <si>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</si>
  <si>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</si>
  <si>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</si>
  <si>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</si>
  <si>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</si>
  <si>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</si>
  <si>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</si>
  <si>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</si>
  <si>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</si>
  <si>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</si>
  <si>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</si>
  <si>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</si>
  <si>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</si>
  <si>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</si>
  <si>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</si>
  <si>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</si>
  <si>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</si>
  <si>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</si>
  <si>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</si>
  <si>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</si>
  <si>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</si>
  <si>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</si>
  <si>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</si>
  <si>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</si>
  <si>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</si>
  <si>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</si>
  <si>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</si>
  <si>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</si>
  <si>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</si>
  <si>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</si>
  <si>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</si>
  <si>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</si>
  <si>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</si>
  <si>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</si>
  <si>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</si>
  <si>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</si>
  <si>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</si>
  <si>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</si>
  <si>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</si>
  <si>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</si>
  <si>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</si>
  <si>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</si>
  <si>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</si>
  <si>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</si>
  <si>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</si>
  <si>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</si>
  <si>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</si>
  <si>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</si>
  <si>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</si>
  <si>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</si>
  <si>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</si>
  <si>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</si>
  <si>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</si>
  <si>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</si>
  <si>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</si>
  <si>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</si>
  <si>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</si>
  <si>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</si>
  <si>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</si>
  <si>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</si>
  <si>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</si>
  <si>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</si>
  <si>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</si>
  <si>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</si>
  <si>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</si>
  <si>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</si>
  <si>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</si>
  <si>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</si>
  <si>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</si>
  <si>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</si>
  <si>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</si>
  <si>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</si>
  <si>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</si>
  <si>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</si>
  <si>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</si>
  <si>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</si>
  <si>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</si>
  <si>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</si>
  <si>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</si>
  <si>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</si>
  <si>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</si>
  <si>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</si>
  <si>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</si>
  <si>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</si>
  <si>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</si>
  <si>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</si>
  <si>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</si>
  <si>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</si>
  <si>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</si>
  <si>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</si>
  <si>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</si>
  <si>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</si>
  <si>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</si>
  <si>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</si>
  <si>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</si>
  <si>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</si>
  <si>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</si>
  <si>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</si>
  <si>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</si>
  <si>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</si>
  <si>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</si>
  <si>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</si>
  <si>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</si>
  <si>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</si>
  <si>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</si>
  <si>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</si>
  <si>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</si>
  <si>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</si>
  <si>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</si>
  <si>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</si>
  <si>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</si>
  <si>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</si>
  <si>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</si>
  <si>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</si>
  <si>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</si>
  <si>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</si>
  <si>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</si>
  <si>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</si>
  <si>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</si>
  <si>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</si>
  <si>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</si>
  <si>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</si>
  <si>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</si>
  <si>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</si>
  <si>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</si>
  <si>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</si>
  <si>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</si>
  <si>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</si>
  <si>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</si>
  <si>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</si>
  <si>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</si>
  <si>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</si>
  <si>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</si>
  <si>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</si>
  <si>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</si>
  <si>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</si>
  <si>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</si>
  <si>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</si>
  <si>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</si>
  <si>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</si>
  <si>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</si>
  <si>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</si>
  <si>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</si>
  <si>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</si>
  <si>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</si>
  <si>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</si>
  <si>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</si>
  <si>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</si>
  <si>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</si>
  <si>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</si>
  <si>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</si>
  <si>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</si>
  <si>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</si>
  <si>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</si>
  <si>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</si>
  <si>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</si>
  <si>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</si>
  <si>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</si>
  <si>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</si>
  <si>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</si>
  <si>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</si>
  <si>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</si>
  <si>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</si>
  <si>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</si>
  <si>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</si>
  <si>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</si>
  <si>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</si>
  <si>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</si>
  <si>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</si>
  <si>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</si>
  <si>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</si>
  <si>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</si>
  <si>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</si>
  <si>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</si>
  <si>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</si>
  <si>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</si>
  <si>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</si>
  <si>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</si>
  <si>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</si>
  <si>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</si>
  <si>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</si>
  <si>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</si>
  <si>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</si>
  <si>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</si>
  <si>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</si>
  <si>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</si>
  <si>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</si>
  <si>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</si>
  <si>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</si>
  <si>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</si>
  <si>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</si>
  <si>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</si>
  <si>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</si>
  <si>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</si>
  <si>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</si>
  <si>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</si>
  <si>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</si>
  <si>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</si>
  <si>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</si>
  <si>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</si>
  <si>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</si>
  <si>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</si>
  <si>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</si>
  <si>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</si>
  <si>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</si>
  <si>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</si>
  <si>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</si>
  <si>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</si>
  <si>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</si>
  <si>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</si>
  <si>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</si>
  <si>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</si>
  <si>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</si>
  <si>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</si>
  <si>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</si>
  <si>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</si>
  <si>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</si>
  <si>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</si>
  <si>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</si>
  <si>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</si>
  <si>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</si>
  <si>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</si>
  <si>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</si>
  <si>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</si>
  <si>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</si>
  <si>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</si>
  <si>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</si>
  <si>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</si>
  <si>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</si>
  <si>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</si>
  <si>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</si>
  <si>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</si>
  <si>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</si>
  <si>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</si>
  <si>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</si>
  <si>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</si>
  <si>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</si>
  <si>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</si>
  <si>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</si>
  <si>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</si>
  <si>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</si>
  <si>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</si>
  <si>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</si>
  <si>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</si>
  <si>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</si>
  <si>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</si>
  <si>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</si>
  <si>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</si>
  <si>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</si>
  <si>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</si>
  <si>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</si>
  <si>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</si>
  <si>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</si>
  <si>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</si>
  <si>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</si>
  <si>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</si>
  <si>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</si>
  <si>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</si>
  <si>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</si>
  <si>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</si>
  <si>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</si>
  <si>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</si>
  <si>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</si>
  <si>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</si>
  <si>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</si>
  <si>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</si>
  <si>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</si>
  <si>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</si>
  <si>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</si>
  <si>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</si>
  <si>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</si>
  <si>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</si>
  <si>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</si>
  <si>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</si>
  <si>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</si>
  <si>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</si>
  <si>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</si>
  <si>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</si>
  <si>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</si>
  <si>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</si>
  <si>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</si>
  <si>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</si>
  <si>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</si>
  <si>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</si>
  <si>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</si>
  <si>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</si>
  <si>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</si>
  <si>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</si>
  <si>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</si>
  <si>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</si>
  <si>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</si>
  <si>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</si>
  <si>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</si>
  <si>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</si>
  <si>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</si>
  <si>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</si>
  <si>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</si>
  <si>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</si>
  <si>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</si>
  <si>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</si>
  <si>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</si>
  <si>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</si>
  <si>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</si>
  <si>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</si>
  <si>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</si>
  <si>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</si>
  <si>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</si>
  <si>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</si>
  <si>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</si>
  <si>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</si>
  <si>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</si>
  <si>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</si>
  <si>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</si>
  <si>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</si>
  <si>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</si>
  <si>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</si>
  <si>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</si>
  <si>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</si>
  <si>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</si>
  <si>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</si>
  <si>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</si>
  <si>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</si>
  <si>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</si>
  <si>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</si>
  <si>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</si>
  <si>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</si>
  <si>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</si>
  <si>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</si>
  <si>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</si>
  <si>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</si>
  <si>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</si>
  <si>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</si>
  <si>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</si>
  <si>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</si>
  <si>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</si>
  <si>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</si>
  <si>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</si>
  <si>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</si>
  <si>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</si>
  <si>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</si>
  <si>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</si>
  <si>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</si>
  <si>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</si>
  <si>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</si>
  <si>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</si>
  <si>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</si>
  <si>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</si>
  <si>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</si>
  <si>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</si>
  <si>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</si>
  <si>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</si>
  <si>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</si>
  <si>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</si>
  <si>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</si>
  <si>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</si>
  <si>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</si>
  <si>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</si>
  <si>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</si>
  <si>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</si>
  <si>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</si>
  <si>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</si>
  <si>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</si>
  <si>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</si>
  <si>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</si>
  <si>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</si>
  <si>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</si>
  <si>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</si>
  <si>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</si>
  <si>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</si>
  <si>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</si>
  <si>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</si>
  <si>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</si>
  <si>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</si>
  <si>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</si>
  <si>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</si>
  <si>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</si>
  <si>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</si>
  <si>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</si>
  <si>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</si>
  <si>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</si>
  <si>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</si>
  <si>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</si>
  <si>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</si>
  <si>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</si>
  <si>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</si>
  <si>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</si>
  <si>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</si>
  <si>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</si>
  <si>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</si>
  <si>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</si>
  <si>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</si>
  <si>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</si>
  <si>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</si>
  <si>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</si>
  <si>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</si>
  <si>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</si>
  <si>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</si>
  <si>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</si>
  <si>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</si>
  <si>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</si>
  <si>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</si>
  <si>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</si>
  <si>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</si>
  <si>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</si>
  <si>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</si>
  <si>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</si>
  <si>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</si>
  <si>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</si>
  <si>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</si>
  <si>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</si>
  <si>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</si>
  <si>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</si>
  <si>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</si>
  <si>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</si>
  <si>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</si>
  <si>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</si>
  <si>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</si>
  <si>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</si>
  <si>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</si>
  <si>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</si>
  <si>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</si>
  <si>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</si>
  <si>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</si>
  <si>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</si>
  <si>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</si>
  <si>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</si>
  <si>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</si>
  <si>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</si>
  <si>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</si>
  <si>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</si>
  <si>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</si>
  <si>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</si>
  <si>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</si>
  <si>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</si>
  <si>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</si>
  <si>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</si>
  <si>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</si>
  <si>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</si>
  <si>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</si>
  <si>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</si>
  <si>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</si>
  <si>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</si>
  <si>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</si>
  <si>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</si>
  <si>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</si>
  <si>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</si>
  <si>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</si>
  <si>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</si>
  <si>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</si>
  <si>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</si>
  <si>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</si>
  <si>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</si>
  <si>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</si>
  <si>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</si>
  <si>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</si>
  <si>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</si>
  <si>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</si>
  <si>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</si>
  <si>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</si>
  <si>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</si>
  <si>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</si>
  <si>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</si>
  <si>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</si>
  <si>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</si>
  <si>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</si>
  <si>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</si>
  <si>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</si>
  <si>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</si>
  <si>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</si>
  <si>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</si>
  <si>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</si>
  <si>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</si>
  <si>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</si>
  <si>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</si>
  <si>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</si>
  <si>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</si>
  <si>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</si>
  <si>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</si>
  <si>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</si>
  <si>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</si>
  <si>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</si>
  <si>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</si>
  <si>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</si>
  <si>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</si>
  <si>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</si>
  <si>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</si>
  <si>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</si>
  <si>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</si>
  <si>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</si>
  <si>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</si>
  <si>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</si>
  <si>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</si>
  <si>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</si>
  <si>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</si>
  <si>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</si>
  <si>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</si>
  <si>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</si>
  <si>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</si>
  <si>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</si>
  <si>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</si>
  <si>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</si>
  <si>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</si>
  <si>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</si>
  <si>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</si>
  <si>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</si>
  <si>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</si>
  <si>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</si>
  <si>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</si>
  <si>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</si>
  <si>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</si>
  <si>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</si>
  <si>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</si>
  <si>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</si>
  <si>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</si>
  <si>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</si>
  <si>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</si>
  <si>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</si>
  <si>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</si>
  <si>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</si>
  <si>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</si>
  <si>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</si>
  <si>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</si>
  <si>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</si>
  <si>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</si>
  <si>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</si>
  <si>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</si>
  <si>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</si>
  <si>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</si>
  <si>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</si>
  <si>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</si>
  <si>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</si>
  <si>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</si>
  <si>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</si>
  <si>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</si>
  <si>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</si>
  <si>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</si>
  <si>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</si>
  <si>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</si>
  <si>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</si>
  <si>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</si>
  <si>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</si>
  <si>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</si>
  <si>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</si>
  <si>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</si>
  <si>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</si>
  <si>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</si>
  <si>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</si>
  <si>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</si>
  <si>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</si>
  <si>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</si>
  <si>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</si>
  <si>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</si>
  <si>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</si>
  <si>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</si>
  <si>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</si>
  <si>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</si>
  <si>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</si>
  <si>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</si>
  <si>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</si>
  <si>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</si>
  <si>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</si>
  <si>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</si>
  <si>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</si>
  <si>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</si>
  <si>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</si>
  <si>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</si>
  <si>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</si>
  <si>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</si>
  <si>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</si>
  <si>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</si>
  <si>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</si>
  <si>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</si>
  <si>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</si>
  <si>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</si>
  <si>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</si>
  <si>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</si>
  <si>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</si>
  <si>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</si>
  <si>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</si>
  <si>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</si>
  <si>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</si>
  <si>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</si>
  <si>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</si>
  <si>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</si>
  <si>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</si>
  <si>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</si>
  <si>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</si>
  <si>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</si>
  <si>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</si>
  <si>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</si>
  <si>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</si>
  <si>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</si>
  <si>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</si>
  <si>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</si>
  <si>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</si>
  <si>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</si>
  <si>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</si>
  <si>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</si>
  <si>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</si>
  <si>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</si>
  <si>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</si>
  <si>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</si>
  <si>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</si>
  <si>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</si>
  <si>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</si>
  <si>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</si>
  <si>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</si>
  <si>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</si>
  <si>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</si>
  <si>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</si>
  <si>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</si>
  <si>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</si>
  <si>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</si>
  <si>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</si>
  <si>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</si>
  <si>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</si>
  <si>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</si>
  <si>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</si>
  <si>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</si>
  <si>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</si>
  <si>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</si>
  <si>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</si>
  <si>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</si>
  <si>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</si>
  <si>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</si>
  <si>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</si>
  <si>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</si>
  <si>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</si>
  <si>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</si>
  <si>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</si>
  <si>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</si>
  <si>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</si>
  <si>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</si>
  <si>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</si>
  <si>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</si>
  <si>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</si>
  <si>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</si>
  <si>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</si>
  <si>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</si>
  <si>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</si>
  <si>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</si>
  <si>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</si>
  <si>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</si>
  <si>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</si>
  <si>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</si>
  <si>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</si>
  <si>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</si>
  <si>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</si>
  <si>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</si>
  <si>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</si>
  <si>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</si>
  <si>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</si>
  <si>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</si>
  <si>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</si>
  <si>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</si>
  <si>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</si>
  <si>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</si>
  <si>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</si>
  <si>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</si>
  <si>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</si>
  <si>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</si>
  <si>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</si>
  <si>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</si>
  <si>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</si>
  <si>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</si>
  <si>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</si>
  <si>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</si>
  <si>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</si>
  <si>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</si>
  <si>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</si>
  <si>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</si>
  <si>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</si>
  <si>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</si>
  <si>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</si>
  <si>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</si>
  <si>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</si>
  <si>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</si>
  <si>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</si>
  <si>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</si>
  <si>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</si>
  <si>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</si>
  <si>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</si>
  <si>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</si>
  <si>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</si>
  <si>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</si>
  <si>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</si>
  <si>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</si>
  <si>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</si>
  <si>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</si>
  <si>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</si>
  <si>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</si>
  <si>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</si>
  <si>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</si>
  <si>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</si>
  <si>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</si>
  <si>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</si>
  <si>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</si>
  <si>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</si>
  <si>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</si>
  <si>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</si>
  <si>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</si>
  <si>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</si>
  <si>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</si>
  <si>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</si>
  <si>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</si>
  <si>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</si>
  <si>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</si>
  <si>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</si>
  <si>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</si>
  <si>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</si>
  <si>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</si>
  <si>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</si>
  <si>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</si>
  <si>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</si>
  <si>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</si>
  <si>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</si>
  <si>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</si>
  <si>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</si>
  <si>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</si>
  <si>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</si>
  <si>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</si>
  <si>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</si>
  <si>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</si>
  <si>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</si>
  <si>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</si>
  <si>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</si>
  <si>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</si>
  <si>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</si>
  <si>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</si>
  <si>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</si>
  <si>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</si>
  <si>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</si>
  <si>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</si>
  <si>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</si>
  <si>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</si>
  <si>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</si>
  <si>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</si>
  <si>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</si>
  <si>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</si>
  <si>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</si>
  <si>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</si>
  <si>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</si>
  <si>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</si>
  <si>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</si>
  <si>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</si>
  <si>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</si>
  <si>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</si>
  <si>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</si>
  <si>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</si>
  <si>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</si>
  <si>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</si>
  <si>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</si>
  <si>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</si>
  <si>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</si>
  <si>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</si>
  <si>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</si>
  <si>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</si>
  <si>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</si>
  <si>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</si>
  <si>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</si>
  <si>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</si>
  <si>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</si>
  <si>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</si>
  <si>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</si>
  <si>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</si>
  <si>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</si>
  <si>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</si>
  <si>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</si>
  <si>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</si>
  <si>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</si>
  <si>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</si>
  <si>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</si>
  <si>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</si>
  <si>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</si>
  <si>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</si>
  <si>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</si>
  <si>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</si>
  <si>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</si>
  <si>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</si>
  <si>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</si>
  <si>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</si>
  <si>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</si>
  <si>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</si>
  <si>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</si>
  <si>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</si>
  <si>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</si>
  <si>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</si>
  <si>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</si>
  <si>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</si>
  <si>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</si>
  <si>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</si>
  <si>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</si>
  <si>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</si>
  <si>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</si>
  <si>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</si>
  <si>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</si>
  <si>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</si>
  <si>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</si>
  <si>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</si>
  <si>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</si>
  <si>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</si>
  <si>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</si>
  <si>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</si>
  <si>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</si>
  <si>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</si>
  <si>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</si>
  <si>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</si>
  <si>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</si>
  <si>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</si>
  <si>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</si>
  <si>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</si>
  <si>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</si>
  <si>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</si>
  <si>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</si>
  <si>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</si>
  <si>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</si>
  <si>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</si>
  <si>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</si>
  <si>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</si>
  <si>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</si>
  <si>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</si>
  <si>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</si>
  <si>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</si>
  <si>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</si>
  <si>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</si>
  <si>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</si>
  <si>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</si>
  <si>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</si>
  <si>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</si>
  <si>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</si>
  <si>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</si>
  <si>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</si>
  <si>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</si>
  <si>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</si>
  <si>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</si>
  <si>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</si>
  <si>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</si>
  <si>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</si>
  <si>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</si>
  <si>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</si>
  <si>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</si>
  <si>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</si>
  <si>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</si>
  <si>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</si>
  <si>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</si>
  <si>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</si>
  <si>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</si>
  <si>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</si>
  <si>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</si>
  <si>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</si>
  <si>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</si>
  <si>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</si>
  <si>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</si>
  <si>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</si>
  <si>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</si>
  <si>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</si>
  <si>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</si>
  <si>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</si>
  <si>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</si>
  <si>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</si>
  <si>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</si>
  <si>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</si>
  <si>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</si>
  <si>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</si>
  <si>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</si>
  <si>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</si>
  <si>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</si>
  <si>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</si>
  <si>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</si>
  <si>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</si>
  <si>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</si>
  <si>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</si>
  <si>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</si>
  <si>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</si>
  <si>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</si>
  <si>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</si>
  <si>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</si>
  <si>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</si>
  <si>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</si>
  <si>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</si>
  <si>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</si>
  <si>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</si>
  <si>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</si>
  <si>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</si>
  <si>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</si>
  <si>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</si>
  <si>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</si>
  <si>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</si>
  <si>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</si>
  <si>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</si>
  <si>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</si>
  <si>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</si>
  <si>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</si>
  <si>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</si>
  <si>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</si>
  <si>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</si>
  <si>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</si>
  <si>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</si>
  <si>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</si>
  <si>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</si>
  <si>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</si>
  <si>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</si>
  <si>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</si>
  <si>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</si>
  <si>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</si>
  <si>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</si>
  <si>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</si>
  <si>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</si>
  <si>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</si>
  <si>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</si>
  <si>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</si>
  <si>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</si>
  <si>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</si>
  <si>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</si>
  <si>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</si>
  <si>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</si>
  <si>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</si>
  <si>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</si>
  <si>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</si>
  <si>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</si>
  <si>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</si>
  <si>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</si>
  <si>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</si>
  <si>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</si>
  <si>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</si>
  <si>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</si>
  <si>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</si>
  <si>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</si>
  <si>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</si>
  <si>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</si>
  <si>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</si>
  <si>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</si>
  <si>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</si>
  <si>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</si>
  <si>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</si>
  <si>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</si>
  <si>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</si>
  <si>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</si>
  <si>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</si>
  <si>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</si>
  <si>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</si>
  <si>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</si>
  <si>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</si>
  <si>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</si>
  <si>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</si>
  <si>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</si>
  <si>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</si>
  <si>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</si>
  <si>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</si>
  <si>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</si>
  <si>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</si>
  <si>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</si>
  <si>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</si>
  <si>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</si>
  <si>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</si>
  <si>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</si>
  <si>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</si>
  <si>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</si>
  <si>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</si>
  <si>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</si>
  <si>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</si>
  <si>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</si>
  <si>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</si>
  <si>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</si>
  <si>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</si>
  <si>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</si>
  <si>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</si>
  <si>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</si>
  <si>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</si>
  <si>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</si>
  <si>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</si>
  <si>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</si>
  <si>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</si>
  <si>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</si>
  <si>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</si>
  <si>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</si>
  <si>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</si>
  <si>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</si>
  <si>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</si>
  <si>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</si>
  <si>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</si>
  <si>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</si>
  <si>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</si>
  <si>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</si>
  <si>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</si>
  <si>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</si>
  <si>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</si>
  <si>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</si>
  <si>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</si>
  <si>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</si>
  <si>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</si>
  <si>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</si>
  <si>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</si>
  <si>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</si>
  <si>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</si>
  <si>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</si>
  <si>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</si>
  <si>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</si>
  <si>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</si>
  <si>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</si>
  <si>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</si>
  <si>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</si>
  <si>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</si>
  <si>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</si>
  <si>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</si>
  <si>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</si>
  <si>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</si>
  <si>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</si>
  <si>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</si>
  <si>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</si>
  <si>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</si>
  <si>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</si>
  <si>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</si>
  <si>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</si>
  <si>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</si>
  <si>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</si>
  <si>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</si>
  <si>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</si>
  <si>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</si>
  <si>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</si>
  <si>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</si>
  <si>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</si>
  <si>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</si>
  <si>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</si>
  <si>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</si>
  <si>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</si>
  <si>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</si>
  <si>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</si>
  <si>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</si>
  <si>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</si>
  <si>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</si>
  <si>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</si>
  <si>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</si>
  <si>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</si>
  <si>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</si>
  <si>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</si>
  <si>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</si>
  <si>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</si>
  <si>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</si>
  <si>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</si>
  <si>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</si>
  <si>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</si>
  <si>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</si>
  <si>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</si>
  <si>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</si>
  <si>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</si>
  <si>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</si>
  <si>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</si>
  <si>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</si>
  <si>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</si>
  <si>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</si>
  <si>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</si>
  <si>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</si>
  <si>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</si>
  <si>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</si>
  <si>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</si>
  <si>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</si>
  <si>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</si>
  <si>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</si>
  <si>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</si>
  <si>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</si>
  <si>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</si>
  <si>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</si>
  <si>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</si>
  <si>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</si>
  <si>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</si>
  <si>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</si>
  <si>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</si>
  <si>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</si>
  <si>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</si>
  <si>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</si>
  <si>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</si>
  <si>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</si>
  <si>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</si>
  <si>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</si>
  <si>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</si>
  <si>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</si>
  <si>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</si>
  <si>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</si>
  <si>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</si>
  <si>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</si>
  <si>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</si>
  <si>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</si>
  <si>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</si>
  <si>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</si>
  <si>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</si>
  <si>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</si>
  <si>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</si>
  <si>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</si>
  <si>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</si>
  <si>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</si>
  <si>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</si>
  <si>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</si>
  <si>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</si>
  <si>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</si>
  <si>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</si>
  <si>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</si>
  <si>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</si>
  <si>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</si>
  <si>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</si>
  <si>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</si>
  <si>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</si>
  <si>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</si>
  <si>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</si>
  <si>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</si>
  <si>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</si>
  <si>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</si>
  <si>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</si>
  <si>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</si>
  <si>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</si>
  <si>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</si>
  <si>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</si>
  <si>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</si>
  <si>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</si>
  <si>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</si>
  <si>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</si>
  <si>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</si>
  <si>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</si>
  <si>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</si>
  <si>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</si>
  <si>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</si>
  <si>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</si>
  <si>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</si>
  <si>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</si>
  <si>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</si>
  <si>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</si>
  <si>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</si>
  <si>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</si>
  <si>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</si>
  <si>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</si>
  <si>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</si>
  <si>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</si>
  <si>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</si>
  <si>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</si>
  <si>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</si>
  <si>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</si>
  <si>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</si>
  <si>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</si>
  <si>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</si>
  <si>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</si>
  <si>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</si>
  <si>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</si>
  <si>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</si>
  <si>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</si>
  <si>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</si>
  <si>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</si>
  <si>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</si>
  <si>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</si>
  <si>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</si>
  <si>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</si>
  <si>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</si>
  <si>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</si>
  <si>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</si>
  <si>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</si>
  <si>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</si>
  <si>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</si>
  <si>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</si>
  <si>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</si>
  <si>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</si>
  <si>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</si>
  <si>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</si>
  <si>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</si>
  <si>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</si>
  <si>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</si>
  <si>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</si>
  <si>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</si>
  <si>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</si>
  <si>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</si>
  <si>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</si>
  <si>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</si>
  <si>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</si>
  <si>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</si>
  <si>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</si>
  <si>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</si>
  <si>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</si>
  <si>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</si>
  <si>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</si>
  <si>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</si>
  <si>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</si>
  <si>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</si>
  <si>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</si>
  <si>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</si>
  <si>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</si>
  <si>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</si>
  <si>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</si>
  <si>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</si>
  <si>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</si>
  <si>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</si>
  <si>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</si>
  <si>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</si>
  <si>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</si>
  <si>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</si>
  <si>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</si>
  <si>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</si>
  <si>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</si>
  <si>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</si>
  <si>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</si>
  <si>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</si>
  <si>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</si>
  <si>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</si>
  <si>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</si>
  <si>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</si>
  <si>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</si>
  <si>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</si>
  <si>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</si>
  <si>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</si>
  <si>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</si>
  <si>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</si>
  <si>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</si>
  <si>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</si>
  <si>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</si>
  <si>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</si>
  <si>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</si>
  <si>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</si>
  <si>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</si>
  <si>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</si>
  <si>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</si>
  <si>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</si>
  <si>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</si>
  <si>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</si>
  <si>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</si>
  <si>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</si>
  <si>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</si>
  <si>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</si>
  <si>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</si>
  <si>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</si>
  <si>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</si>
  <si>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</si>
  <si>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</si>
  <si>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</si>
  <si>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</si>
  <si>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</si>
  <si>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</si>
  <si>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</si>
  <si>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</si>
  <si>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</si>
  <si>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</si>
  <si>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</si>
  <si>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</si>
  <si>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</si>
  <si>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</si>
  <si>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</si>
  <si>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</si>
  <si>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</si>
  <si>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</si>
  <si>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</si>
  <si>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</si>
  <si>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</si>
  <si>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</si>
  <si>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</si>
  <si>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</si>
  <si>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</si>
  <si>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</si>
  <si>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</si>
  <si>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</si>
  <si>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</si>
  <si>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</si>
  <si>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</si>
  <si>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</si>
  <si>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</si>
  <si>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</si>
  <si>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</si>
  <si>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</si>
  <si>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</si>
  <si>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</si>
  <si>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</si>
  <si>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</si>
  <si>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</si>
  <si>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</si>
  <si>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</si>
  <si>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</si>
  <si>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</si>
  <si>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</si>
  <si>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</si>
  <si>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</si>
  <si>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</si>
  <si>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</si>
  <si>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</si>
  <si>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</si>
  <si>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</si>
  <si>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</si>
  <si>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</si>
  <si>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</si>
  <si>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</si>
  <si>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</si>
  <si>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</si>
  <si>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</si>
  <si>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</si>
  <si>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</si>
  <si>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</si>
  <si>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</si>
  <si>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</si>
  <si>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</si>
  <si>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</si>
  <si>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</si>
  <si>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</si>
  <si>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</si>
  <si>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</si>
  <si>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</si>
  <si>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</si>
  <si>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</si>
  <si>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</si>
  <si>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</si>
  <si>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</si>
  <si>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</si>
  <si>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</si>
  <si>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</si>
  <si>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</si>
  <si>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</si>
  <si>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</si>
  <si>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</si>
  <si>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</si>
  <si>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</si>
  <si>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</si>
  <si>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</si>
  <si>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</si>
  <si>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</si>
  <si>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</si>
  <si>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</si>
  <si>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</si>
  <si>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</si>
  <si>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</si>
  <si>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</si>
  <si>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</si>
  <si>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</si>
  <si>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</si>
  <si>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</si>
  <si>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</si>
  <si>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</si>
  <si>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</si>
  <si>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</si>
  <si>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</si>
  <si>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</si>
  <si>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</si>
  <si>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</si>
  <si>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</si>
  <si>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</si>
  <si>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</si>
  <si>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</si>
  <si>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</si>
  <si>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</si>
  <si>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</si>
  <si>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</si>
  <si>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</si>
  <si>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</si>
  <si>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</si>
  <si>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</si>
  <si>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</si>
  <si>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</si>
  <si>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</si>
  <si>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</si>
  <si>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</si>
  <si>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</si>
  <si>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</si>
  <si>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</si>
  <si>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</si>
  <si>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</si>
  <si>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</si>
  <si>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</si>
  <si>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</si>
  <si>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</si>
  <si>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</si>
  <si>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</si>
  <si>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</si>
  <si>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</si>
  <si>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</si>
  <si>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</si>
  <si>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</si>
  <si>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</si>
  <si>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</si>
  <si>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</si>
  <si>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</si>
  <si>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</si>
  <si>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</si>
  <si>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</si>
  <si>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</si>
  <si>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</si>
  <si>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</si>
  <si>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</si>
  <si>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</si>
  <si>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</si>
  <si>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</si>
  <si>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</si>
  <si>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</si>
  <si>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</si>
  <si>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</si>
  <si>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</si>
  <si>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</si>
  <si>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</si>
  <si>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</si>
  <si>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</si>
  <si>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</si>
  <si>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</si>
  <si>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</si>
  <si>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</si>
  <si>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</si>
  <si>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</si>
  <si>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</si>
  <si>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</si>
  <si>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</si>
  <si>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</si>
  <si>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</si>
  <si>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</si>
  <si>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</si>
  <si>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</si>
  <si>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</si>
  <si>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</si>
  <si>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</si>
  <si>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</si>
  <si>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</si>
  <si>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</si>
  <si>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</si>
  <si>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</si>
  <si>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</si>
  <si>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</si>
  <si>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</si>
  <si>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</si>
  <si>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</si>
  <si>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</si>
  <si>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</si>
  <si>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</si>
  <si>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</si>
  <si>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</si>
  <si>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</si>
  <si>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</si>
  <si>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</si>
  <si>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</si>
  <si>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</si>
  <si>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</si>
  <si>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</si>
  <si>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</si>
  <si>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</si>
  <si>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</si>
  <si>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</si>
  <si>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</si>
  <si>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</si>
  <si>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</si>
  <si>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</si>
  <si>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</si>
  <si>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</si>
  <si>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</si>
  <si>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</si>
  <si>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</si>
  <si>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</si>
  <si>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</si>
  <si>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</si>
  <si>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</si>
  <si>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</si>
  <si>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</si>
  <si>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</si>
  <si>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</si>
  <si>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</si>
  <si>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</si>
  <si>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</si>
  <si>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</si>
  <si>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</si>
  <si>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</si>
  <si>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</si>
  <si>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</si>
  <si>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</si>
  <si>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</si>
  <si>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</si>
  <si>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</si>
  <si>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</si>
  <si>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</si>
  <si>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</si>
  <si>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</si>
  <si>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</si>
  <si>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</si>
  <si>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</si>
  <si>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</si>
  <si>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</si>
  <si>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</si>
  <si>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</si>
  <si>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</si>
  <si>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</si>
  <si>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</si>
  <si>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</si>
  <si>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</si>
  <si>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</si>
  <si>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</si>
  <si>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</si>
  <si>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</si>
  <si>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</si>
  <si>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</si>
  <si>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</si>
  <si>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</si>
  <si>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</si>
  <si>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</si>
  <si>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</si>
  <si>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</si>
  <si>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</si>
  <si>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</si>
  <si>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</si>
  <si>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</si>
  <si>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</si>
  <si>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</si>
  <si>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</si>
  <si>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</si>
  <si>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</si>
  <si>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</si>
  <si>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</si>
  <si>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</si>
  <si>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</si>
  <si>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</si>
  <si>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</si>
  <si>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</si>
  <si>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</si>
  <si>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</si>
  <si>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</si>
  <si>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</si>
  <si>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</si>
  <si>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</si>
  <si>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</si>
  <si>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</si>
  <si>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</si>
  <si>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</si>
  <si>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</si>
  <si>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</si>
  <si>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</si>
  <si>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</si>
  <si>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</si>
  <si>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</si>
  <si>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</si>
  <si>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</si>
  <si>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</si>
  <si>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</si>
  <si>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</si>
  <si>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</si>
  <si>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</si>
  <si>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</si>
  <si>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</si>
  <si>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</si>
  <si>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</si>
  <si>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</si>
  <si>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</si>
  <si>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</si>
  <si>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</si>
  <si>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</si>
  <si>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</si>
  <si>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</si>
  <si>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</si>
  <si>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</si>
  <si>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</si>
  <si>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</si>
  <si>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</si>
  <si>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</si>
  <si>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</si>
  <si>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</si>
  <si>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</si>
  <si>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</si>
  <si>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</si>
  <si>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</si>
  <si>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</si>
  <si>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</si>
  <si>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</si>
  <si>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</si>
  <si>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</si>
  <si>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</si>
  <si>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</si>
  <si>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</si>
  <si>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</si>
  <si>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</si>
  <si>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</si>
  <si>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</si>
  <si>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</si>
  <si>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</si>
  <si>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</si>
  <si>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</si>
  <si>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</si>
  <si>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</si>
  <si>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</si>
  <si>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</si>
  <si>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</si>
  <si>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</si>
  <si>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</si>
  <si>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</si>
  <si>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</si>
  <si>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</si>
  <si>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</si>
  <si>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</si>
  <si>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</si>
  <si>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</si>
  <si>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</si>
  <si>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</si>
  <si>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</si>
  <si>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</si>
  <si>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</si>
  <si>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</si>
  <si>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</si>
  <si>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</si>
  <si>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</si>
  <si>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</si>
  <si>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</si>
  <si>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</si>
  <si>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</si>
  <si>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</si>
  <si>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</si>
  <si>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</si>
  <si>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</si>
  <si>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</si>
  <si>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</si>
  <si>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</si>
  <si>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</si>
  <si>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</si>
  <si>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</si>
  <si>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</si>
  <si>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</si>
  <si>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</si>
  <si>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</si>
  <si>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</si>
  <si>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</si>
  <si>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</si>
  <si>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</si>
  <si>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</si>
  <si>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</si>
  <si>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</si>
  <si>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</si>
  <si>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</si>
  <si>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</si>
  <si>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</si>
  <si>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</si>
  <si>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</si>
  <si>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</si>
  <si>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</si>
  <si>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</si>
  <si>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</si>
  <si>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</si>
  <si>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</si>
  <si>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</si>
  <si>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</si>
  <si>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</si>
  <si>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</si>
  <si>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</si>
  <si>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</si>
  <si>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</si>
  <si>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</si>
  <si>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</si>
  <si>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</si>
  <si>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</si>
  <si>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</si>
  <si>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</si>
  <si>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</si>
  <si>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</si>
  <si>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</si>
  <si>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</si>
  <si>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</si>
  <si>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</si>
  <si>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</si>
  <si>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</si>
  <si>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</si>
  <si>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</si>
  <si>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</si>
  <si>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</si>
  <si>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</si>
  <si>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</si>
  <si>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</si>
  <si>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</si>
  <si>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</si>
  <si>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</si>
  <si>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</si>
  <si>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</si>
  <si>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</si>
  <si>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</si>
  <si>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</si>
  <si>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</si>
  <si>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</si>
  <si>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</si>
  <si>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</si>
  <si>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</si>
  <si>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</si>
  <si>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</si>
  <si>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</si>
  <si>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</si>
  <si>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</si>
  <si>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</si>
  <si>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</si>
  <si>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</si>
  <si>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</si>
  <si>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</si>
  <si>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</si>
  <si>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</si>
  <si>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</si>
  <si>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</si>
  <si>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</si>
  <si>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</si>
  <si>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</si>
  <si>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</si>
  <si>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</si>
  <si>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</si>
  <si>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</si>
  <si>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</si>
  <si>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</si>
  <si>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</si>
  <si>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</si>
  <si>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</si>
  <si>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</si>
  <si>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</si>
  <si>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</si>
  <si>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</si>
  <si>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</si>
  <si>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</si>
  <si>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</si>
  <si>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</si>
  <si>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</si>
  <si>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</si>
  <si>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</si>
  <si>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</si>
  <si>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</si>
  <si>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</si>
  <si>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</si>
  <si>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</si>
  <si>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</si>
  <si>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</si>
  <si>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</si>
  <si>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</si>
  <si>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</si>
  <si>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</si>
  <si>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</si>
  <si>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</si>
  <si>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</si>
  <si>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</si>
  <si>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</si>
  <si>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</si>
  <si>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</si>
  <si>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</si>
  <si>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</si>
  <si>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</si>
  <si>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</si>
  <si>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</si>
  <si>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</si>
  <si>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</si>
  <si>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</si>
  <si>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</si>
  <si>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</si>
  <si>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</si>
  <si>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</si>
  <si>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</si>
  <si>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</si>
  <si>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</si>
  <si>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</si>
  <si>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</si>
  <si>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</si>
  <si>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</si>
  <si>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</si>
  <si>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</si>
  <si>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</si>
  <si>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</si>
  <si>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</si>
  <si>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</si>
  <si>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</si>
  <si>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</si>
  <si>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</si>
  <si>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</si>
  <si>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</si>
  <si>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</si>
  <si>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</si>
  <si>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</si>
  <si>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</si>
  <si>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</si>
  <si>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</si>
  <si>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</si>
  <si>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</si>
  <si>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</si>
  <si>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</si>
  <si>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</si>
  <si>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</si>
  <si>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</si>
  <si>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</si>
  <si>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</si>
  <si>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</si>
  <si>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</si>
  <si>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</si>
  <si>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</si>
  <si>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</si>
  <si>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</si>
  <si>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</si>
  <si>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</si>
  <si>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</si>
  <si>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</si>
  <si>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</si>
  <si>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</si>
  <si>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</si>
  <si>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</si>
  <si>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</si>
  <si>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</si>
  <si>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</si>
  <si>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</si>
  <si>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</si>
  <si>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</si>
  <si>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</si>
  <si>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</si>
  <si>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</si>
  <si>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</si>
  <si>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</si>
  <si>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</si>
  <si>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</si>
  <si>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</si>
  <si>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</si>
  <si>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</si>
  <si>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</si>
  <si>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</si>
  <si>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</si>
  <si>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</si>
  <si>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</si>
  <si>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</si>
  <si>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</si>
  <si>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</si>
  <si>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</si>
  <si>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</si>
  <si>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</si>
  <si>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</si>
  <si>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</si>
  <si>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</si>
  <si>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</si>
  <si>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</si>
  <si>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</si>
  <si>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</si>
  <si>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</si>
  <si>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</si>
  <si>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</si>
  <si>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</si>
  <si>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</si>
  <si>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</si>
  <si>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</si>
  <si>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</si>
  <si>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</si>
  <si>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</si>
  <si>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</si>
  <si>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</si>
  <si>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</si>
  <si>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</si>
  <si>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</si>
  <si>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</si>
  <si>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</si>
  <si>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</si>
  <si>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</si>
  <si>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</si>
  <si>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</si>
  <si>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</si>
  <si>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</si>
  <si>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</si>
  <si>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</si>
  <si>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</si>
  <si>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</si>
  <si>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</si>
  <si>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</si>
  <si>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</si>
  <si>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</si>
  <si>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</si>
  <si>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</si>
  <si>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</si>
  <si>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</si>
  <si>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</si>
  <si>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</si>
  <si>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</si>
  <si>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</si>
  <si>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</si>
  <si>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</si>
  <si>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</si>
  <si>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</si>
  <si>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</si>
  <si>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</si>
  <si>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</si>
  <si>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</si>
  <si>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</si>
  <si>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</si>
  <si>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</si>
  <si>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</si>
  <si>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</si>
  <si>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</si>
  <si>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</si>
  <si>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</si>
  <si>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</si>
  <si>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</si>
  <si>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</si>
  <si>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</si>
  <si>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</si>
  <si>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</si>
  <si>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</si>
  <si>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</si>
  <si>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</si>
  <si>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</si>
  <si>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</si>
  <si>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</si>
  <si>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</si>
  <si>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</si>
  <si>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</si>
  <si>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</si>
  <si>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</si>
  <si>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</si>
  <si>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</si>
  <si>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</si>
  <si>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</si>
  <si>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</si>
  <si>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</si>
  <si>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</si>
  <si>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</si>
  <si>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</si>
  <si>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</si>
  <si>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</si>
  <si>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</si>
  <si>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</si>
  <si>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</si>
  <si>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</si>
  <si>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</si>
  <si>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</si>
  <si>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</si>
  <si>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</si>
  <si>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</si>
  <si>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</si>
  <si>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</si>
  <si>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</si>
  <si>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</si>
  <si>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</si>
  <si>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</si>
  <si>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</si>
  <si>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</si>
  <si>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</si>
  <si>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</si>
  <si>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</si>
  <si>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</si>
  <si>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</si>
  <si>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</si>
  <si>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</si>
  <si>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</si>
  <si>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</si>
  <si>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</si>
  <si>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</si>
  <si>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</si>
  <si>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</si>
  <si>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</si>
  <si>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</si>
  <si>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</si>
  <si>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</si>
  <si>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</si>
  <si>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</si>
  <si>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</si>
  <si>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</si>
  <si>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</si>
  <si>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</si>
  <si>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</si>
  <si>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</si>
  <si>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</si>
  <si>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</si>
  <si>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</si>
  <si>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</si>
  <si>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</si>
  <si>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</si>
  <si>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</si>
  <si>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</si>
  <si>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</si>
  <si>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</si>
  <si>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</si>
  <si>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</si>
  <si>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</si>
  <si>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</si>
  <si>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</si>
  <si>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</si>
  <si>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</si>
  <si>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</si>
  <si>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</si>
  <si>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</si>
  <si>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</si>
  <si>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</si>
  <si>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</si>
  <si>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</si>
  <si>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</si>
  <si>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</si>
  <si>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</si>
  <si>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</si>
  <si>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</si>
  <si>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</si>
  <si>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</si>
  <si>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</si>
  <si>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</si>
  <si>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</si>
  <si>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</si>
  <si>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</si>
  <si>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</si>
  <si>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</si>
  <si>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</si>
  <si>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</si>
  <si>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</si>
  <si>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</si>
  <si>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</si>
  <si>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</si>
  <si>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</si>
  <si>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</si>
  <si>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</si>
  <si>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</si>
  <si>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</si>
  <si>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</si>
  <si>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</si>
  <si>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</si>
  <si>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</si>
  <si>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</si>
  <si>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</si>
  <si>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</si>
  <si>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</si>
  <si>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</si>
  <si>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</si>
  <si>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</si>
  <si>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</si>
  <si>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</si>
  <si>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</si>
  <si>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</si>
  <si>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</si>
  <si>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</si>
  <si>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</si>
  <si>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</si>
  <si>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</si>
  <si>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</si>
  <si>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</si>
  <si>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</si>
  <si>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</si>
  <si>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</si>
  <si>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</si>
  <si>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</si>
  <si>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</si>
  <si>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</si>
  <si>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</si>
  <si>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</si>
  <si>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</si>
  <si>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</si>
  <si>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</si>
  <si>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</si>
  <si>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</si>
  <si>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</si>
  <si>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</si>
  <si>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</si>
  <si>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</si>
  <si>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</si>
  <si>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</si>
  <si>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</si>
  <si>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</si>
  <si>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</si>
  <si>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</si>
  <si>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</si>
  <si>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</si>
  <si>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</si>
  <si>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</si>
  <si>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</si>
  <si>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</si>
  <si>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</si>
  <si>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</si>
  <si>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</si>
  <si>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</si>
  <si>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</si>
  <si>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</si>
  <si>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</si>
  <si>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</si>
  <si>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</si>
  <si>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</si>
  <si>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</si>
  <si>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</si>
  <si>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</si>
  <si>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</si>
  <si>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</si>
  <si>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</si>
  <si>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</si>
  <si>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</si>
  <si>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</si>
  <si>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</si>
  <si>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</si>
  <si>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</si>
  <si>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</si>
  <si>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</si>
  <si>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</si>
  <si>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</si>
  <si>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</si>
  <si>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</si>
  <si>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</si>
  <si>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</si>
  <si>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</si>
  <si>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</si>
  <si>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</si>
  <si>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</si>
  <si>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</si>
  <si>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</si>
  <si>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</si>
  <si>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</si>
  <si>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</si>
  <si>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</si>
  <si>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</si>
  <si>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</si>
  <si>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</si>
  <si>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</si>
  <si>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</si>
  <si>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</si>
  <si>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</si>
  <si>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</si>
  <si>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</si>
  <si>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</si>
  <si>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</si>
  <si>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</si>
  <si>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</si>
  <si>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</si>
  <si>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</si>
  <si>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</si>
  <si>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</si>
  <si>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</si>
  <si>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</si>
  <si>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</si>
  <si>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</si>
  <si>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</si>
  <si>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</si>
  <si>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</si>
  <si>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</si>
  <si>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</si>
  <si>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</si>
  <si>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</si>
  <si>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</si>
  <si>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</si>
  <si>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</si>
  <si>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</si>
  <si>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</si>
  <si>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</si>
  <si>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</si>
  <si>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</si>
  <si>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</si>
  <si>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</si>
  <si>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</si>
  <si>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</si>
  <si>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</si>
  <si>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</si>
  <si>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</si>
  <si>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</si>
  <si>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</si>
  <si>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</si>
  <si>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</si>
  <si>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</si>
  <si>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</si>
  <si>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</si>
  <si>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</si>
  <si>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</si>
  <si>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</si>
  <si>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</si>
  <si>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</si>
  <si>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</si>
  <si>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</si>
  <si>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</si>
  <si>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</si>
  <si>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</si>
  <si>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</si>
  <si>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</si>
  <si>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</si>
  <si>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</si>
  <si>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</si>
  <si>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</si>
  <si>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</si>
  <si>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</si>
  <si>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</si>
  <si>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</si>
  <si>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</si>
  <si>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</si>
  <si>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</si>
  <si>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</si>
  <si>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</si>
  <si>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</si>
  <si>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</si>
  <si>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</si>
  <si>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</si>
  <si>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</si>
  <si>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</si>
  <si>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</si>
  <si>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</si>
  <si>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</si>
  <si>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</si>
  <si>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</si>
  <si>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</si>
  <si>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</si>
  <si>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</si>
  <si>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</si>
  <si>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</si>
  <si>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</si>
  <si>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</si>
  <si>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</si>
  <si>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</si>
  <si>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</si>
  <si>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</si>
  <si>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</si>
  <si>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</si>
  <si>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</si>
  <si>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</si>
  <si>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</si>
  <si>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</si>
  <si>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</si>
  <si>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</si>
  <si>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</si>
  <si>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</si>
  <si>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</si>
  <si>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</si>
  <si>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</si>
  <si>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</si>
  <si>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</si>
  <si>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</si>
  <si>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</si>
  <si>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</si>
  <si>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</si>
  <si>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</si>
  <si>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</si>
  <si>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</si>
  <si>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</si>
  <si>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</si>
  <si>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</si>
  <si>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</si>
  <si>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</si>
  <si>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</si>
  <si>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</si>
  <si>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</si>
  <si>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</si>
  <si>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</si>
  <si>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</si>
  <si>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</si>
  <si>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</si>
  <si>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</si>
  <si>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</si>
  <si>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</si>
  <si>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</si>
  <si>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</si>
  <si>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</si>
  <si>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</si>
  <si>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</si>
  <si>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</si>
  <si>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</si>
  <si>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</si>
  <si>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</si>
  <si>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</si>
  <si>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</si>
  <si>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</si>
  <si>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</si>
  <si>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</si>
  <si>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</si>
  <si>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</si>
  <si>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</si>
  <si>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</si>
  <si>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</si>
  <si>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</si>
  <si>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</si>
  <si>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</si>
  <si>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</si>
  <si>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</si>
  <si>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</si>
  <si>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</si>
  <si>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</si>
  <si>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</si>
  <si>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</si>
  <si>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</si>
  <si>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</si>
  <si>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</si>
  <si>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</si>
  <si>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</si>
  <si>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</si>
  <si>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</si>
  <si>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</si>
  <si>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</si>
  <si>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</si>
  <si>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</si>
  <si>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</si>
  <si>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</si>
  <si>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</si>
  <si>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</si>
  <si>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</si>
  <si>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</si>
  <si>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</si>
  <si>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</si>
  <si>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</si>
  <si>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</si>
  <si>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</si>
  <si>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</si>
  <si>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</si>
  <si>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</si>
  <si>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</si>
  <si>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</si>
  <si>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</si>
  <si>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</si>
  <si>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</si>
  <si>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</si>
  <si>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</si>
  <si>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</si>
  <si>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</si>
  <si>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</si>
  <si>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</si>
  <si>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</si>
  <si>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</si>
  <si>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</si>
  <si>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</si>
  <si>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</si>
  <si>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</si>
  <si>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</si>
  <si>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</si>
  <si>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</si>
  <si>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</si>
  <si>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</si>
  <si>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</si>
  <si>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</si>
  <si>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</si>
  <si>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</si>
  <si>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</si>
  <si>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</si>
  <si>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</si>
  <si>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</si>
  <si>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</si>
  <si>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</si>
  <si>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</si>
  <si>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</si>
  <si>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</si>
  <si>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</si>
  <si>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</si>
  <si>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</si>
  <si>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</si>
  <si>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</si>
  <si>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</si>
  <si>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</si>
  <si>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</si>
  <si>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</si>
  <si>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</si>
  <si>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</si>
  <si>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</si>
  <si>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</si>
  <si>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</si>
  <si>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</si>
  <si>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</si>
  <si>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</si>
  <si>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</si>
  <si>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</si>
  <si>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</si>
  <si>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</si>
  <si>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</si>
  <si>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</si>
  <si>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</si>
  <si>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</si>
  <si>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</si>
  <si>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</si>
  <si>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</si>
  <si>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</si>
  <si>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</si>
  <si>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</si>
  <si>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</si>
  <si>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</si>
  <si>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</si>
  <si>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</si>
  <si>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</si>
  <si>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</si>
  <si>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</si>
  <si>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</si>
  <si>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</si>
  <si>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</si>
  <si>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</si>
  <si>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</si>
  <si>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</si>
  <si>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</si>
  <si>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</si>
  <si>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</si>
  <si>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</si>
  <si>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</si>
  <si>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</si>
  <si>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</si>
  <si>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</si>
  <si>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</si>
  <si>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</si>
  <si>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</si>
  <si>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</si>
  <si>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</si>
  <si>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</si>
  <si>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</si>
  <si>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</si>
  <si>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</si>
  <si>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</si>
  <si>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</si>
  <si>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</si>
  <si>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</si>
  <si>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</si>
  <si>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</si>
  <si>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</si>
  <si>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</si>
  <si>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</si>
  <si>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</si>
  <si>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</si>
  <si>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</si>
  <si>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</si>
  <si>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</si>
  <si>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</si>
  <si>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</si>
  <si>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</si>
  <si>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</si>
  <si>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</si>
  <si>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</si>
  <si>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</si>
  <si>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</si>
  <si>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</si>
  <si>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</si>
  <si>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</si>
  <si>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</si>
  <si>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</si>
  <si>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</si>
  <si>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</si>
  <si>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</si>
  <si>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</si>
  <si>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</si>
  <si>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</si>
  <si>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</si>
  <si>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</si>
  <si>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</si>
  <si>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</si>
  <si>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</si>
  <si>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</si>
  <si>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</si>
  <si>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</si>
  <si>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</si>
  <si>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</si>
  <si>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</si>
  <si>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</si>
  <si>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</si>
  <si>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</si>
  <si>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</si>
  <si>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</si>
  <si>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</si>
  <si>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</si>
  <si>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</si>
  <si>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</si>
  <si>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</si>
  <si>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</si>
  <si>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</si>
  <si>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</si>
  <si>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</si>
  <si>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</si>
  <si>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</si>
  <si>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</si>
  <si>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</si>
  <si>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</si>
  <si>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</si>
  <si>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</si>
  <si>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</si>
  <si>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</si>
  <si>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</si>
  <si>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</si>
  <si>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</si>
  <si>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</si>
  <si>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</si>
  <si>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</si>
  <si>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</si>
  <si>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</si>
  <si>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</si>
  <si>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</si>
  <si>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</si>
  <si>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</si>
  <si>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</si>
  <si>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</si>
  <si>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</si>
  <si>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</si>
  <si>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</si>
  <si>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</si>
  <si>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</si>
  <si>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</si>
  <si>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</si>
  <si>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</si>
  <si>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</si>
  <si>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</si>
  <si>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</si>
  <si>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</si>
  <si>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</si>
  <si>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</si>
  <si>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</si>
  <si>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</si>
  <si>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</si>
  <si>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</si>
  <si>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</si>
  <si>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</si>
  <si>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</si>
  <si>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</si>
  <si>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</si>
  <si>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</si>
  <si>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</si>
  <si>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</si>
  <si>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</si>
  <si>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</si>
  <si>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</si>
  <si>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</si>
  <si>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</si>
  <si>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</si>
  <si>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</si>
  <si>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</si>
  <si>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</si>
  <si>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</si>
  <si>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</si>
  <si>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</si>
  <si>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</si>
  <si>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</si>
  <si>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</si>
  <si>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</si>
  <si>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</si>
  <si>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</si>
  <si>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</si>
  <si>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</si>
  <si>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</si>
  <si>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</si>
  <si>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</si>
  <si>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</si>
  <si>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</si>
  <si>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</si>
  <si>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</si>
  <si>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</si>
  <si>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</si>
  <si>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</si>
  <si>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</si>
  <si>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</si>
  <si>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</si>
  <si>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</si>
  <si>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</si>
  <si>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</si>
  <si>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</si>
  <si>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</si>
  <si>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</si>
  <si>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</si>
  <si>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</si>
  <si>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</si>
  <si>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</si>
  <si>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</si>
  <si>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</si>
  <si>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</si>
  <si>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</si>
  <si>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</si>
  <si>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</si>
  <si>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</si>
  <si>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</si>
  <si>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</si>
  <si>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</si>
  <si>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</si>
  <si>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</si>
  <si>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</si>
  <si>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</si>
  <si>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</si>
  <si>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</si>
  <si>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</si>
  <si>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</si>
  <si>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</si>
  <si>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</si>
  <si>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</si>
  <si>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</si>
  <si>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</si>
  <si>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</si>
  <si>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</si>
  <si>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</si>
  <si>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</si>
  <si>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</si>
  <si>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</si>
  <si>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</si>
  <si>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</si>
  <si>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</si>
  <si>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</si>
  <si>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</si>
  <si>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</si>
  <si>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</si>
  <si>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</si>
  <si>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</si>
  <si>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</si>
  <si>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</si>
  <si>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</si>
  <si>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</si>
  <si>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</si>
  <si>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</si>
  <si>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</si>
  <si>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</si>
  <si>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</si>
  <si>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</si>
  <si>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</si>
  <si>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</si>
  <si>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</si>
  <si>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</si>
  <si>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</si>
  <si>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</si>
  <si>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</si>
  <si>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</si>
  <si>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</si>
  <si>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</si>
  <si>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</si>
  <si>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</si>
  <si>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</si>
  <si>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</si>
  <si>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</si>
  <si>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</si>
  <si>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</si>
  <si>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</si>
  <si>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</si>
  <si>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</si>
  <si>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</si>
  <si>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</si>
  <si>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</si>
  <si>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</si>
  <si>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</si>
  <si>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</si>
  <si>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</si>
  <si>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</si>
  <si>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</si>
  <si>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</si>
  <si>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</si>
  <si>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</si>
  <si>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</si>
  <si>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</si>
  <si>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</si>
  <si>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</si>
  <si>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</si>
  <si>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</si>
  <si>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</si>
  <si>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</si>
  <si>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</si>
  <si>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</si>
  <si>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</si>
  <si>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</si>
  <si>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</si>
  <si>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</si>
  <si>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</si>
  <si>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</si>
  <si>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</si>
  <si>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</si>
  <si>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</si>
  <si>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</si>
  <si>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</si>
  <si>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</si>
  <si>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</si>
  <si>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</si>
  <si>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</si>
  <si>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</si>
  <si>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</si>
  <si>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</si>
  <si>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</si>
  <si>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</si>
  <si>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</si>
  <si>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</si>
  <si>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</si>
  <si>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</si>
  <si>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</si>
  <si>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</si>
  <si>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</si>
  <si>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</si>
  <si>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</si>
  <si>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</si>
  <si>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</si>
  <si>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</si>
  <si>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</si>
  <si>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</si>
  <si>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</si>
  <si>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</si>
  <si>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</si>
  <si>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</si>
  <si>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</si>
  <si>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</si>
  <si>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</si>
  <si>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</si>
  <si>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</si>
  <si>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</si>
  <si>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</si>
  <si>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</si>
  <si>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</si>
  <si>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</si>
  <si>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</si>
  <si>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</si>
  <si>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</si>
  <si>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</si>
  <si>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</si>
  <si>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</si>
  <si>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77317840351</t>
  </si>
  <si>
    <t>03114210</t>
  </si>
  <si>
    <t>060091313</t>
  </si>
  <si>
    <t>VODOVOD d.o.o.</t>
  </si>
  <si>
    <t>OMIŠ</t>
  </si>
  <si>
    <t>ČETVRT VRILO 6</t>
  </si>
  <si>
    <t>omis@vodovod.hr</t>
  </si>
  <si>
    <t>www.vodovod.hr</t>
  </si>
  <si>
    <t>021/755-110</t>
  </si>
  <si>
    <t>MARKO PEŠIĆ</t>
  </si>
  <si>
    <t>marko.pesic@vodovod.hr</t>
  </si>
  <si>
    <t>MATKO KOVAČEVIĆ</t>
  </si>
  <si>
    <t>021/755-113</t>
  </si>
  <si>
    <t>01008232760</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</si>
</sst>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33" borderId="56" xfId="0" applyNumberFormat="1" applyFont="1" applyFill="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8" fillId="0" borderId="58"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14" fillId="33" borderId="56" xfId="0" applyFont="1" applyFill="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57"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9"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6"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6" xfId="0" applyNumberFormat="1" applyFont="1" applyFill="1" applyBorder="1" applyAlignment="1" applyProtection="1">
      <alignment horizontal="center" vertical="center" shrinkToFit="1"/>
      <protection locked="0"/>
    </xf>
    <xf numFmtId="1" fontId="25" fillId="33" borderId="57"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58" xfId="0" applyBorder="1" applyAlignment="1">
      <alignment horizontal="center" vertical="center"/>
    </xf>
    <xf numFmtId="14" fontId="14" fillId="33" borderId="56" xfId="0" applyNumberFormat="1" applyFont="1" applyFill="1" applyBorder="1" applyAlignment="1" applyProtection="1">
      <alignment horizontal="center" vertical="center"/>
      <protection locked="0"/>
    </xf>
    <xf numFmtId="14" fontId="0" fillId="33" borderId="57"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6"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10204204.58</v>
      </c>
      <c r="I3" s="31">
        <f>ABS(ROUND(J3,0)-J3)+ABS(ROUND(K3,0)-K3)</f>
        <v>0</v>
      </c>
      <c r="J3" s="31">
        <f>Bilanca!I10</f>
        <v>166599783</v>
      </c>
      <c r="K3" s="31">
        <f>Bilanca!J10</f>
        <v>171805223</v>
      </c>
    </row>
    <row r="4" spans="1:11" ht="12.75">
      <c r="A4" s="4" t="s">
        <v>1088</v>
      </c>
      <c r="B4" s="29" t="s">
        <v>1888</v>
      </c>
      <c r="D4" s="4" t="s">
        <v>1521</v>
      </c>
      <c r="E4" s="4">
        <v>1</v>
      </c>
      <c r="F4" s="4">
        <f>Bilanca!G11</f>
        <v>3</v>
      </c>
      <c r="G4" s="4">
        <f>IF(Bilanca!H11=0,"",Bilanca!H11)</f>
      </c>
      <c r="H4" s="30">
        <f>J4/100*F4+2*K4/100*F4</f>
        <v>126645.39000000001</v>
      </c>
      <c r="I4" s="31">
        <f>ABS(ROUND(J4,0)-J4)+ABS(ROUND(K4,0)-K4)</f>
        <v>0</v>
      </c>
      <c r="J4" s="31">
        <f>Bilanca!I11</f>
        <v>100473</v>
      </c>
      <c r="K4" s="31">
        <f>Bilanca!J11</f>
        <v>2060520</v>
      </c>
    </row>
    <row r="5" spans="1:11" ht="12.75">
      <c r="A5" s="4" t="s">
        <v>2361</v>
      </c>
      <c r="B5" s="29">
        <f>IF(ISNUMBER(RefStr!C17),RefStr!C17,0)</f>
        <v>10</v>
      </c>
      <c r="D5" s="4" t="s">
        <v>1521</v>
      </c>
      <c r="E5" s="4">
        <v>1</v>
      </c>
      <c r="F5" s="4">
        <f>Bilanca!G12</f>
        <v>4</v>
      </c>
      <c r="G5" s="4">
        <f>IF(Bilanca!H12=0,"",Bilanca!H12)</f>
      </c>
      <c r="H5" s="30">
        <f>J5/100*F5+2*K5/100*F5</f>
        <v>162068.8</v>
      </c>
      <c r="I5" s="31">
        <f>ABS(ROUND(J5,0)-J5)+ABS(ROUND(K5,0)-K5)</f>
        <v>0</v>
      </c>
      <c r="J5" s="31">
        <f>Bilanca!I12</f>
        <v>0</v>
      </c>
      <c r="K5" s="31">
        <f>Bilanca!J12</f>
        <v>2025860</v>
      </c>
    </row>
    <row r="6" spans="1:11" ht="12.75">
      <c r="A6" s="4" t="s">
        <v>2352</v>
      </c>
      <c r="B6" s="29" t="str">
        <f>RefStr!H27</f>
        <v>03114210</v>
      </c>
      <c r="D6" s="4" t="s">
        <v>1521</v>
      </c>
      <c r="E6" s="4">
        <v>1</v>
      </c>
      <c r="F6" s="4">
        <f>Bilanca!G13</f>
        <v>5</v>
      </c>
      <c r="G6" s="4">
        <f>IF(Bilanca!H13=0,"",Bilanca!H13)</f>
      </c>
      <c r="H6" s="30">
        <f aca="true" t="shared" si="0" ref="H6:H45">J6/100*F6+2*K6/100*F6</f>
        <v>8489.65</v>
      </c>
      <c r="I6" s="31">
        <f aca="true" t="shared" si="1" ref="I6:I45">ABS(ROUND(J6,0)-J6)+ABS(ROUND(K6,0)-K6)</f>
        <v>0</v>
      </c>
      <c r="J6" s="31">
        <f>Bilanca!I13</f>
        <v>100473</v>
      </c>
      <c r="K6" s="31">
        <f>Bilanca!J13</f>
        <v>34660</v>
      </c>
    </row>
    <row r="7" spans="1:11" ht="12.75">
      <c r="A7" s="4" t="s">
        <v>2353</v>
      </c>
      <c r="B7" s="29" t="str">
        <f>RefStr!M27</f>
        <v>060091313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77317840351</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VODOVOD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21310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OMIŠ</v>
      </c>
      <c r="D11" s="4" t="s">
        <v>1521</v>
      </c>
      <c r="E11" s="4">
        <v>1</v>
      </c>
      <c r="F11" s="4">
        <f>Bilanca!G18</f>
        <v>10</v>
      </c>
      <c r="G11" s="4">
        <f>IF(Bilanca!H18=0,"",Bilanca!H18)</f>
      </c>
      <c r="H11" s="30">
        <f t="shared" si="0"/>
        <v>50576080.6</v>
      </c>
      <c r="I11" s="31">
        <f t="shared" si="1"/>
        <v>0</v>
      </c>
      <c r="J11" s="31">
        <f>Bilanca!I18</f>
        <v>166419540</v>
      </c>
      <c r="K11" s="31">
        <f>Bilanca!J18</f>
        <v>169670633</v>
      </c>
    </row>
    <row r="12" spans="1:11" ht="12.75">
      <c r="A12" s="4" t="s">
        <v>2357</v>
      </c>
      <c r="B12" s="29" t="str">
        <f>TRIM(RefStr!C33)</f>
        <v>ČETVRT VRILO 6</v>
      </c>
      <c r="D12" s="4" t="s">
        <v>1521</v>
      </c>
      <c r="E12" s="4">
        <v>1</v>
      </c>
      <c r="F12" s="4">
        <f>Bilanca!G19</f>
        <v>11</v>
      </c>
      <c r="G12" s="4">
        <f>IF(Bilanca!H19=0,"",Bilanca!H19)</f>
      </c>
      <c r="H12" s="30">
        <f t="shared" si="0"/>
        <v>263321.85</v>
      </c>
      <c r="I12" s="31">
        <f t="shared" si="1"/>
        <v>0</v>
      </c>
      <c r="J12" s="31">
        <f>Bilanca!I19</f>
        <v>797945</v>
      </c>
      <c r="K12" s="31">
        <f>Bilanca!J19</f>
        <v>797945</v>
      </c>
    </row>
    <row r="13" spans="1:11" ht="12.75">
      <c r="A13" s="4" t="s">
        <v>1193</v>
      </c>
      <c r="B13" s="29" t="str">
        <f>TRIM(RefStr!C35)</f>
        <v>omis@vodovod.hr</v>
      </c>
      <c r="D13" s="4" t="s">
        <v>1521</v>
      </c>
      <c r="E13" s="4">
        <v>1</v>
      </c>
      <c r="F13" s="4">
        <f>Bilanca!G20</f>
        <v>12</v>
      </c>
      <c r="G13" s="4">
        <f>IF(Bilanca!H20=0,"",Bilanca!H20)</f>
      </c>
      <c r="H13" s="30">
        <f t="shared" si="0"/>
        <v>52299963.480000004</v>
      </c>
      <c r="I13" s="31">
        <f t="shared" si="1"/>
        <v>0</v>
      </c>
      <c r="J13" s="31">
        <f>Bilanca!I20</f>
        <v>138122577</v>
      </c>
      <c r="K13" s="31">
        <f>Bilanca!J20</f>
        <v>148855226</v>
      </c>
    </row>
    <row r="14" spans="1:11" ht="12.75">
      <c r="A14" s="4" t="s">
        <v>1194</v>
      </c>
      <c r="B14" s="29" t="str">
        <f>TRIM(RefStr!C37)</f>
        <v>www.vodovod.hr</v>
      </c>
      <c r="D14" s="4" t="s">
        <v>1521</v>
      </c>
      <c r="E14" s="4">
        <v>1</v>
      </c>
      <c r="F14" s="4">
        <f>Bilanca!G21</f>
        <v>13</v>
      </c>
      <c r="G14" s="4">
        <f>IF(Bilanca!H21=0,"",Bilanca!H21)</f>
      </c>
      <c r="H14" s="30">
        <f t="shared" si="0"/>
        <v>3302597.2199999997</v>
      </c>
      <c r="I14" s="31">
        <f t="shared" si="1"/>
        <v>0</v>
      </c>
      <c r="J14" s="31">
        <f>Bilanca!I21</f>
        <v>9047986</v>
      </c>
      <c r="K14" s="31">
        <f>Bilanca!J21</f>
        <v>8178304</v>
      </c>
    </row>
    <row r="15" spans="1:11" ht="12.75">
      <c r="A15" s="4" t="s">
        <v>2360</v>
      </c>
      <c r="B15" s="29" t="str">
        <f>TEXT(RefStr!J39,"00")</f>
        <v>17</v>
      </c>
      <c r="D15" s="4" t="s">
        <v>1521</v>
      </c>
      <c r="E15" s="4">
        <v>1</v>
      </c>
      <c r="F15" s="4">
        <f>Bilanca!G22</f>
        <v>14</v>
      </c>
      <c r="G15" s="4">
        <f>IF(Bilanca!H22=0,"",Bilanca!H22)</f>
      </c>
      <c r="H15" s="30">
        <f t="shared" si="0"/>
        <v>165603.90000000002</v>
      </c>
      <c r="I15" s="31">
        <f t="shared" si="1"/>
        <v>0</v>
      </c>
      <c r="J15" s="31">
        <f>Bilanca!I22</f>
        <v>418075</v>
      </c>
      <c r="K15" s="31">
        <f>Bilanca!J22</f>
        <v>382405</v>
      </c>
    </row>
    <row r="16" spans="1:11" ht="12.75">
      <c r="A16" s="4" t="s">
        <v>2359</v>
      </c>
      <c r="B16" s="29" t="str">
        <f>TEXT(RefStr!C39,"000")</f>
        <v>300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1242.08</v>
      </c>
      <c r="I17" s="31">
        <f t="shared" si="1"/>
        <v>0</v>
      </c>
      <c r="J17" s="31">
        <f>Bilanca!I24</f>
        <v>7763</v>
      </c>
      <c r="K17" s="31">
        <f>Bilanca!J24</f>
        <v>0</v>
      </c>
    </row>
    <row r="18" spans="1:11" ht="12.75">
      <c r="A18" s="4" t="s">
        <v>1195</v>
      </c>
      <c r="B18" s="29" t="str">
        <f>IF(RefStr!C21&lt;&gt;"",RefStr!C21,"")</f>
        <v>NE</v>
      </c>
      <c r="D18" s="4" t="s">
        <v>1521</v>
      </c>
      <c r="E18" s="4">
        <v>1</v>
      </c>
      <c r="F18" s="4">
        <f>Bilanca!G25</f>
        <v>17</v>
      </c>
      <c r="G18" s="4">
        <f>IF(Bilanca!H25=0,"",Bilanca!H25)</f>
      </c>
      <c r="H18" s="30">
        <f t="shared" si="0"/>
        <v>6959579</v>
      </c>
      <c r="I18" s="31">
        <f t="shared" si="1"/>
        <v>0</v>
      </c>
      <c r="J18" s="31">
        <f>Bilanca!I25</f>
        <v>18025194</v>
      </c>
      <c r="K18" s="31">
        <f>Bilanca!J25</f>
        <v>11456753</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64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62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63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70652.1</v>
      </c>
      <c r="I32" s="31">
        <f t="shared" si="1"/>
        <v>0</v>
      </c>
      <c r="J32" s="31">
        <f>Bilanca!I39</f>
        <v>79770</v>
      </c>
      <c r="K32" s="31">
        <f>Bilanca!J39</f>
        <v>74070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79768.5</v>
      </c>
      <c r="I36" s="31">
        <f t="shared" si="1"/>
        <v>0</v>
      </c>
      <c r="J36" s="31">
        <f>Bilanca!I43</f>
        <v>79770</v>
      </c>
      <c r="K36" s="31">
        <f>Bilanca!J43</f>
        <v>74070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27761410.43</v>
      </c>
      <c r="I38" s="31">
        <f t="shared" si="1"/>
        <v>0</v>
      </c>
      <c r="J38" s="31">
        <f>Bilanca!I45</f>
        <v>27202221</v>
      </c>
      <c r="K38" s="31">
        <f>Bilanca!J45</f>
        <v>23914309</v>
      </c>
    </row>
    <row r="39" spans="1:11" ht="12.75">
      <c r="A39" s="4" t="s">
        <v>1216</v>
      </c>
      <c r="B39" s="29" t="str">
        <f>RefStr!C68</f>
        <v>MARKO PEŠIĆ</v>
      </c>
      <c r="D39" s="4" t="s">
        <v>1521</v>
      </c>
      <c r="E39" s="4">
        <v>1</v>
      </c>
      <c r="F39" s="4">
        <f>Bilanca!G46</f>
        <v>38</v>
      </c>
      <c r="G39" s="4">
        <f>IF(Bilanca!H46=0,"",Bilanca!H46)</f>
      </c>
      <c r="H39" s="30">
        <f t="shared" si="0"/>
        <v>2055463.7000000002</v>
      </c>
      <c r="I39" s="31">
        <f t="shared" si="1"/>
        <v>0</v>
      </c>
      <c r="J39" s="31">
        <f>Bilanca!I46</f>
        <v>1785399</v>
      </c>
      <c r="K39" s="31">
        <f>Bilanca!J46</f>
        <v>1811858</v>
      </c>
    </row>
    <row r="40" spans="1:11" ht="12.75">
      <c r="A40" s="4" t="s">
        <v>1217</v>
      </c>
      <c r="B40" s="29" t="str">
        <f>TRIM(RefStr!C70)</f>
        <v>021/755-113</v>
      </c>
      <c r="D40" s="4" t="s">
        <v>1521</v>
      </c>
      <c r="E40" s="4">
        <v>1</v>
      </c>
      <c r="F40" s="4">
        <f>Bilanca!G47</f>
        <v>39</v>
      </c>
      <c r="G40" s="4">
        <f>IF(Bilanca!H47=0,"",Bilanca!H47)</f>
      </c>
      <c r="H40" s="30">
        <f t="shared" si="0"/>
        <v>2106872.82</v>
      </c>
      <c r="I40" s="31">
        <f t="shared" si="1"/>
        <v>0</v>
      </c>
      <c r="J40" s="31">
        <f>Bilanca!I47</f>
        <v>1781136</v>
      </c>
      <c r="K40" s="31">
        <f>Bilanca!J47</f>
        <v>1810551</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marko.pesic@vodovod.hr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MATKO KOVAČEVIĆ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2957.11</v>
      </c>
      <c r="I44" s="31">
        <f t="shared" si="1"/>
        <v>0</v>
      </c>
      <c r="J44" s="31">
        <f>Bilanca!I51</f>
        <v>4263</v>
      </c>
      <c r="K44" s="31">
        <f>Bilanca!J51</f>
        <v>1307</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10586294.64</v>
      </c>
      <c r="I47" s="31">
        <f t="shared" si="3"/>
        <v>0</v>
      </c>
      <c r="J47" s="31">
        <f>Bilanca!I54</f>
        <v>7203632</v>
      </c>
      <c r="K47" s="31">
        <f>Bilanca!J54</f>
        <v>7905026</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8212158.43</v>
      </c>
      <c r="I50" s="31">
        <f t="shared" si="3"/>
        <v>0</v>
      </c>
      <c r="J50" s="31">
        <f>Bilanca!I57</f>
        <v>5417289</v>
      </c>
      <c r="K50" s="31">
        <f>Bilanca!J57</f>
        <v>5671109</v>
      </c>
    </row>
    <row r="51" spans="1:11" ht="12.75">
      <c r="A51" s="4" t="s">
        <v>288</v>
      </c>
      <c r="B51" s="29" t="str">
        <f>RefStr!I60</f>
        <v>DA</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2726990.4</v>
      </c>
      <c r="I52" s="31">
        <f t="shared" si="3"/>
        <v>0</v>
      </c>
      <c r="J52" s="31">
        <f>Bilanca!I59</f>
        <v>1519348</v>
      </c>
      <c r="K52" s="31">
        <f>Bilanca!J59</f>
        <v>1913846</v>
      </c>
    </row>
    <row r="53" spans="1:11" ht="12.75">
      <c r="A53" s="4" t="s">
        <v>532</v>
      </c>
      <c r="B53" s="29" t="str">
        <f>RefStr!I56</f>
        <v>DA</v>
      </c>
      <c r="D53" s="4" t="s">
        <v>1521</v>
      </c>
      <c r="E53" s="4">
        <v>1</v>
      </c>
      <c r="F53" s="4">
        <f>Bilanca!G60</f>
        <v>52</v>
      </c>
      <c r="G53" s="4">
        <f>IF(Bilanca!H60=0,"",Bilanca!H60)</f>
      </c>
      <c r="H53" s="30">
        <f t="shared" si="2"/>
        <v>471711.24</v>
      </c>
      <c r="I53" s="31">
        <f t="shared" si="3"/>
        <v>0</v>
      </c>
      <c r="J53" s="31">
        <f>Bilanca!I60</f>
        <v>266995</v>
      </c>
      <c r="K53" s="31">
        <f>Bilanca!J60</f>
        <v>320071</v>
      </c>
    </row>
    <row r="54" spans="1:11" ht="12.75">
      <c r="A54" s="4" t="s">
        <v>533</v>
      </c>
      <c r="B54" s="29" t="str">
        <f>RefStr!I62</f>
        <v>DA</v>
      </c>
      <c r="D54" s="4" t="s">
        <v>1521</v>
      </c>
      <c r="E54" s="4">
        <v>1</v>
      </c>
      <c r="F54" s="4">
        <f>Bilanca!G61</f>
        <v>53</v>
      </c>
      <c r="G54" s="4">
        <f>IF(Bilanca!H61=0,"",Bilanca!H61)</f>
      </c>
      <c r="H54" s="30">
        <f t="shared" si="2"/>
        <v>15900000</v>
      </c>
      <c r="I54" s="31">
        <f t="shared" si="3"/>
        <v>0</v>
      </c>
      <c r="J54" s="31">
        <f>Bilanca!I61</f>
        <v>10000000</v>
      </c>
      <c r="K54" s="31">
        <f>Bilanca!J61</f>
        <v>10000000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3702623684.310002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18300000</v>
      </c>
      <c r="I62" s="31">
        <f t="shared" si="3"/>
        <v>0</v>
      </c>
      <c r="J62" s="31">
        <f>Bilanca!I69</f>
        <v>10000000</v>
      </c>
      <c r="K62" s="31">
        <f>Bilanca!J69</f>
        <v>10000000</v>
      </c>
    </row>
    <row r="63" spans="1:11" ht="12.75">
      <c r="A63" s="4" t="s">
        <v>777</v>
      </c>
      <c r="B63" s="29" t="str">
        <f>IF(ISNUMBER(VALUE(RefStr!L21)),TEXT(INT(VALUE(RefStr!L21)),"00000000000"),"")</f>
        <v>01008232760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10463065.2</v>
      </c>
      <c r="I64" s="31">
        <f t="shared" si="3"/>
        <v>0</v>
      </c>
      <c r="J64" s="31">
        <f>Bilanca!I71</f>
        <v>8213190</v>
      </c>
      <c r="K64" s="31">
        <f>Bilanca!J71</f>
        <v>4197425</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380406694.2</v>
      </c>
      <c r="I66" s="31">
        <f t="shared" si="3"/>
        <v>0</v>
      </c>
      <c r="J66" s="31">
        <f>Bilanca!I73</f>
        <v>193802004</v>
      </c>
      <c r="K66" s="31">
        <f>Bilanca!J73</f>
        <v>195719532</v>
      </c>
    </row>
    <row r="67" spans="1:11" ht="12.75">
      <c r="A67" s="4" t="s">
        <v>689</v>
      </c>
      <c r="B67" s="29" t="str">
        <f>RefStr!L35</f>
        <v>021/755-110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72990949.05</v>
      </c>
      <c r="I68" s="31">
        <f t="shared" si="3"/>
        <v>0</v>
      </c>
      <c r="J68" s="31">
        <f>Bilanca!I76</f>
        <v>36198229</v>
      </c>
      <c r="K68" s="31">
        <f>Bilanca!J76</f>
        <v>36371743</v>
      </c>
    </row>
    <row r="69" spans="1:11" ht="12.75">
      <c r="A69" s="4" t="s">
        <v>691</v>
      </c>
      <c r="B69" s="29">
        <f>RefStr!M46</f>
        <v>0</v>
      </c>
      <c r="D69" s="4" t="s">
        <v>1521</v>
      </c>
      <c r="E69" s="4">
        <v>1</v>
      </c>
      <c r="F69" s="4">
        <f>Bilanca!G77</f>
        <v>68</v>
      </c>
      <c r="G69" s="4">
        <f>IF(Bilanca!H77=0,"",Bilanca!H77)</f>
      </c>
      <c r="H69" s="30">
        <f t="shared" si="2"/>
        <v>70227272</v>
      </c>
      <c r="I69" s="31">
        <f t="shared" si="3"/>
        <v>0</v>
      </c>
      <c r="J69" s="31">
        <f>Bilanca!I77</f>
        <v>30891800</v>
      </c>
      <c r="K69" s="31">
        <f>Bilanca!J77</f>
        <v>36191800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10161.9</v>
      </c>
      <c r="I71" s="31">
        <f t="shared" si="3"/>
        <v>0</v>
      </c>
      <c r="J71" s="31">
        <f>Bilanca!I79</f>
        <v>1659</v>
      </c>
      <c r="K71" s="31">
        <f>Bilanca!J79</f>
        <v>6429</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10887.750000000002</v>
      </c>
      <c r="I76" s="31">
        <f t="shared" si="3"/>
        <v>0</v>
      </c>
      <c r="J76" s="31">
        <f>Bilanca!I84</f>
        <v>1659</v>
      </c>
      <c r="K76" s="31">
        <f>Bilanca!J84</f>
        <v>6429</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0</v>
      </c>
      <c r="I82" s="31">
        <f t="shared" si="3"/>
        <v>0</v>
      </c>
      <c r="J82" s="31">
        <f>Bilanca!I90</f>
        <v>0</v>
      </c>
      <c r="K82" s="31">
        <f>Bilanca!J90</f>
        <v>0</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4747510.32</v>
      </c>
      <c r="I85" s="31">
        <f>ABS(ROUND(J85,0)-J85)+ABS(ROUND(K85,0)-K85)</f>
        <v>0</v>
      </c>
      <c r="J85" s="31">
        <f>Bilanca!I93</f>
        <v>5304770</v>
      </c>
      <c r="K85" s="31">
        <f>Bilanca!J93</f>
        <v>173514</v>
      </c>
    </row>
    <row r="86" spans="4:11" ht="12.75">
      <c r="D86" s="4" t="s">
        <v>1521</v>
      </c>
      <c r="E86" s="4">
        <v>1</v>
      </c>
      <c r="F86" s="4">
        <f>Bilanca!G94</f>
        <v>85</v>
      </c>
      <c r="G86" s="4">
        <f>IF(Bilanca!H94=0,"",Bilanca!H94)</f>
      </c>
      <c r="H86" s="30">
        <f>J86/100*F86+2*K86/100*F86</f>
        <v>4804028.3</v>
      </c>
      <c r="I86" s="31">
        <f>ABS(ROUND(J86,0)-J86)+ABS(ROUND(K86,0)-K86)</f>
        <v>0</v>
      </c>
      <c r="J86" s="31">
        <f>Bilanca!I94</f>
        <v>5304770</v>
      </c>
      <c r="K86" s="31">
        <f>Bilanca!J94</f>
        <v>173514</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29483546.4</v>
      </c>
      <c r="I96" s="31">
        <f t="shared" si="5"/>
        <v>0</v>
      </c>
      <c r="J96" s="31">
        <f>Bilanca!I104</f>
        <v>11451198</v>
      </c>
      <c r="K96" s="31">
        <f>Bilanca!J104</f>
        <v>9792057</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30889683</v>
      </c>
      <c r="I101" s="31">
        <f t="shared" si="5"/>
        <v>0</v>
      </c>
      <c r="J101" s="31">
        <f>Bilanca!I109</f>
        <v>11400185</v>
      </c>
      <c r="K101" s="31">
        <f>Bilanca!J109</f>
        <v>9744749</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152910.45</v>
      </c>
      <c r="I106" s="31">
        <f t="shared" si="5"/>
        <v>0</v>
      </c>
      <c r="J106" s="31">
        <f>Bilanca!I114</f>
        <v>51013</v>
      </c>
      <c r="K106" s="31">
        <f>Bilanca!J114</f>
        <v>47308</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12479577.99</v>
      </c>
      <c r="I108" s="31">
        <f t="shared" si="5"/>
        <v>0</v>
      </c>
      <c r="J108" s="31">
        <f>Bilanca!I116</f>
        <v>4674099</v>
      </c>
      <c r="K108" s="31">
        <f>Bilanca!J116</f>
        <v>3494529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414807.24</v>
      </c>
      <c r="I115" s="31">
        <f t="shared" si="5"/>
        <v>0</v>
      </c>
      <c r="J115" s="31">
        <f>Bilanca!I123</f>
        <v>120000</v>
      </c>
      <c r="K115" s="31">
        <f>Bilanca!J123</f>
        <v>121933</v>
      </c>
    </row>
    <row r="116" spans="4:11" ht="12.75">
      <c r="D116" s="4" t="s">
        <v>1521</v>
      </c>
      <c r="E116" s="4">
        <v>1</v>
      </c>
      <c r="F116" s="4">
        <f>Bilanca!G124</f>
        <v>115</v>
      </c>
      <c r="G116" s="4">
        <f>IF(Bilanca!H124=0,"",Bilanca!H124)</f>
      </c>
      <c r="H116" s="30">
        <f t="shared" si="4"/>
        <v>3164107.7</v>
      </c>
      <c r="I116" s="31">
        <f t="shared" si="5"/>
        <v>0</v>
      </c>
      <c r="J116" s="31">
        <f>Bilanca!I124</f>
        <v>1843404</v>
      </c>
      <c r="K116" s="31">
        <f>Bilanca!J124</f>
        <v>453997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1560055.77</v>
      </c>
      <c r="I118" s="31">
        <f t="shared" si="5"/>
        <v>0</v>
      </c>
      <c r="J118" s="31">
        <f>Bilanca!I126</f>
        <v>472889</v>
      </c>
      <c r="K118" s="31">
        <f>Bilanca!J126</f>
        <v>430246</v>
      </c>
    </row>
    <row r="119" spans="4:11" ht="12.75">
      <c r="D119" s="4" t="s">
        <v>1521</v>
      </c>
      <c r="E119" s="4">
        <v>1</v>
      </c>
      <c r="F119" s="4">
        <f>Bilanca!G127</f>
        <v>118</v>
      </c>
      <c r="G119" s="4">
        <f>IF(Bilanca!H127=0,"",Bilanca!H127)</f>
      </c>
      <c r="H119" s="30">
        <f t="shared" si="4"/>
        <v>1169046.06</v>
      </c>
      <c r="I119" s="31">
        <f t="shared" si="5"/>
        <v>0</v>
      </c>
      <c r="J119" s="31">
        <f>Bilanca!I127</f>
        <v>373597</v>
      </c>
      <c r="K119" s="31">
        <f>Bilanca!J127</f>
        <v>308560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7530791.950000001</v>
      </c>
      <c r="I122" s="31">
        <f t="shared" si="5"/>
        <v>0</v>
      </c>
      <c r="J122" s="31">
        <f>Bilanca!I130</f>
        <v>1864209</v>
      </c>
      <c r="K122" s="31">
        <f>Bilanca!J130</f>
        <v>2179793</v>
      </c>
    </row>
    <row r="123" spans="4:11" ht="12.75">
      <c r="D123" s="4" t="s">
        <v>1521</v>
      </c>
      <c r="E123" s="4">
        <v>1</v>
      </c>
      <c r="F123" s="4">
        <f>Bilanca!G131</f>
        <v>122</v>
      </c>
      <c r="G123" s="4">
        <f>IF(Bilanca!H131=0,"",Bilanca!H131)</f>
      </c>
      <c r="H123" s="30">
        <f t="shared" si="4"/>
        <v>528993078.48</v>
      </c>
      <c r="I123" s="31">
        <f t="shared" si="5"/>
        <v>0</v>
      </c>
      <c r="J123" s="31">
        <f>Bilanca!I131</f>
        <v>141478478</v>
      </c>
      <c r="K123" s="31">
        <f>Bilanca!J131</f>
        <v>146061203</v>
      </c>
    </row>
    <row r="124" spans="4:11" ht="12.75">
      <c r="D124" s="4" t="s">
        <v>1521</v>
      </c>
      <c r="E124" s="4">
        <v>1</v>
      </c>
      <c r="F124" s="4">
        <f>Bilanca!G132</f>
        <v>123</v>
      </c>
      <c r="G124" s="4">
        <f>IF(Bilanca!H132=0,"",Bilanca!H132)</f>
      </c>
      <c r="H124" s="30">
        <f t="shared" si="4"/>
        <v>719846513.6400001</v>
      </c>
      <c r="I124" s="31">
        <f t="shared" si="5"/>
        <v>0</v>
      </c>
      <c r="J124" s="31">
        <f>Bilanca!I132</f>
        <v>193802004</v>
      </c>
      <c r="K124" s="31">
        <f>Bilanca!J132</f>
        <v>195719532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89506431.25</v>
      </c>
      <c r="I126" s="4">
        <f t="shared" si="5"/>
        <v>0</v>
      </c>
      <c r="J126" s="31">
        <f>RDG!I8</f>
        <v>24997581</v>
      </c>
      <c r="K126" s="31">
        <f>RDG!J8</f>
        <v>23303782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67594720.03</v>
      </c>
      <c r="I128" s="4">
        <f aca="true" t="shared" si="7" ref="I128:I190">ABS(ROUND(J128,0)-J128)+ABS(ROUND(K128,0)-K128)</f>
        <v>0</v>
      </c>
      <c r="J128" s="31">
        <f>RDG!I10</f>
        <v>16601923</v>
      </c>
      <c r="K128" s="31">
        <f>RDG!J10</f>
        <v>18311133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23895242.8</v>
      </c>
      <c r="I131" s="4">
        <f t="shared" si="7"/>
        <v>0</v>
      </c>
      <c r="J131" s="31">
        <f>RDG!I13</f>
        <v>8395658</v>
      </c>
      <c r="K131" s="31">
        <f>RDG!J13</f>
        <v>4992649</v>
      </c>
    </row>
    <row r="132" spans="4:11" ht="12.75">
      <c r="D132" s="4" t="s">
        <v>541</v>
      </c>
      <c r="E132" s="4">
        <v>2</v>
      </c>
      <c r="F132" s="4">
        <f>RDG!G14</f>
        <v>131</v>
      </c>
      <c r="G132" s="4">
        <f>IF(RDG!H14=0,"",RDG!H14)</f>
      </c>
      <c r="H132" s="30">
        <f t="shared" si="6"/>
        <v>87710756.56</v>
      </c>
      <c r="I132" s="4">
        <f t="shared" si="7"/>
        <v>0</v>
      </c>
      <c r="J132" s="31">
        <f>RDG!I14</f>
        <v>20248904</v>
      </c>
      <c r="K132" s="31">
        <f>RDG!J14</f>
        <v>23352936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25447954</v>
      </c>
      <c r="I134" s="4">
        <f t="shared" si="7"/>
        <v>0</v>
      </c>
      <c r="J134" s="31">
        <f>RDG!I16</f>
        <v>5299356</v>
      </c>
      <c r="K134" s="31">
        <f>RDG!J16</f>
        <v>6917222</v>
      </c>
    </row>
    <row r="135" spans="4:11" ht="12.75">
      <c r="D135" s="4" t="s">
        <v>541</v>
      </c>
      <c r="E135" s="4">
        <v>2</v>
      </c>
      <c r="F135" s="4">
        <f>RDG!G17</f>
        <v>134</v>
      </c>
      <c r="G135" s="4">
        <f>IF(RDG!H17=0,"",RDG!H17)</f>
      </c>
      <c r="H135" s="30">
        <f t="shared" si="6"/>
        <v>11136910.18</v>
      </c>
      <c r="I135" s="4">
        <f t="shared" si="7"/>
        <v>0</v>
      </c>
      <c r="J135" s="31">
        <f>RDG!I17</f>
        <v>2652123</v>
      </c>
      <c r="K135" s="31">
        <f>RDG!J17</f>
        <v>2829502</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14718835.28</v>
      </c>
      <c r="I137" s="4">
        <f t="shared" si="7"/>
        <v>0</v>
      </c>
      <c r="J137" s="31">
        <f>RDG!I19</f>
        <v>2647233</v>
      </c>
      <c r="K137" s="31">
        <f>RDG!J19</f>
        <v>4087720</v>
      </c>
    </row>
    <row r="138" spans="4:11" ht="12.75">
      <c r="D138" s="4" t="s">
        <v>541</v>
      </c>
      <c r="E138" s="4">
        <v>2</v>
      </c>
      <c r="F138" s="4">
        <f>RDG!G20</f>
        <v>137</v>
      </c>
      <c r="G138" s="4">
        <f>IF(RDG!H20=0,"",RDG!H20)</f>
      </c>
      <c r="H138" s="30">
        <f t="shared" si="6"/>
        <v>30473178.520000003</v>
      </c>
      <c r="I138" s="4">
        <f t="shared" si="7"/>
        <v>0</v>
      </c>
      <c r="J138" s="31">
        <f>RDG!I20</f>
        <v>7452720</v>
      </c>
      <c r="K138" s="31">
        <f>RDG!J20</f>
        <v>7395238</v>
      </c>
    </row>
    <row r="139" spans="4:11" ht="12.75">
      <c r="D139" s="4" t="s">
        <v>541</v>
      </c>
      <c r="E139" s="4">
        <v>2</v>
      </c>
      <c r="F139" s="4">
        <f>RDG!G21</f>
        <v>138</v>
      </c>
      <c r="G139" s="4">
        <f>IF(RDG!H21=0,"",RDG!H21)</f>
      </c>
      <c r="H139" s="30">
        <f t="shared" si="6"/>
        <v>19287157.380000003</v>
      </c>
      <c r="I139" s="4">
        <f t="shared" si="7"/>
        <v>0</v>
      </c>
      <c r="J139" s="31">
        <f>RDG!I21</f>
        <v>4639863</v>
      </c>
      <c r="K139" s="31">
        <f>RDG!J21</f>
        <v>4668169</v>
      </c>
    </row>
    <row r="140" spans="4:11" ht="12.75">
      <c r="D140" s="4" t="s">
        <v>541</v>
      </c>
      <c r="E140" s="4">
        <v>2</v>
      </c>
      <c r="F140" s="4">
        <f>RDG!G22</f>
        <v>139</v>
      </c>
      <c r="G140" s="4">
        <f>IF(RDG!H22=0,"",RDG!H22)</f>
      </c>
      <c r="H140" s="30">
        <f t="shared" si="6"/>
        <v>6953641.800000001</v>
      </c>
      <c r="I140" s="4">
        <f t="shared" si="7"/>
        <v>0</v>
      </c>
      <c r="J140" s="31">
        <f>RDG!I22</f>
        <v>1718122</v>
      </c>
      <c r="K140" s="31">
        <f>RDG!J22</f>
        <v>1642249</v>
      </c>
    </row>
    <row r="141" spans="4:11" ht="12.75">
      <c r="D141" s="4" t="s">
        <v>541</v>
      </c>
      <c r="E141" s="4">
        <v>2</v>
      </c>
      <c r="F141" s="4">
        <f>RDG!G23</f>
        <v>140</v>
      </c>
      <c r="G141" s="4">
        <f>IF(RDG!H23=0,"",RDG!H23)</f>
      </c>
      <c r="H141" s="30">
        <f t="shared" si="6"/>
        <v>4570125</v>
      </c>
      <c r="I141" s="4">
        <f t="shared" si="7"/>
        <v>0</v>
      </c>
      <c r="J141" s="31">
        <f>RDG!I23</f>
        <v>1094735</v>
      </c>
      <c r="K141" s="31">
        <f>RDG!J23</f>
        <v>1084820</v>
      </c>
    </row>
    <row r="142" spans="4:11" ht="12.75">
      <c r="D142" s="4" t="s">
        <v>541</v>
      </c>
      <c r="E142" s="4">
        <v>2</v>
      </c>
      <c r="F142" s="4">
        <f>RDG!G24</f>
        <v>141</v>
      </c>
      <c r="G142" s="4">
        <f>IF(RDG!H24=0,"",RDG!H24)</f>
      </c>
      <c r="H142" s="30">
        <f t="shared" si="6"/>
        <v>26924858.04</v>
      </c>
      <c r="I142" s="4">
        <f t="shared" si="7"/>
        <v>0</v>
      </c>
      <c r="J142" s="31">
        <f>RDG!I24</f>
        <v>5787314</v>
      </c>
      <c r="K142" s="31">
        <f>RDG!J24</f>
        <v>6654165</v>
      </c>
    </row>
    <row r="143" spans="4:11" ht="12.75">
      <c r="D143" s="4" t="s">
        <v>541</v>
      </c>
      <c r="E143" s="4">
        <v>2</v>
      </c>
      <c r="F143" s="4">
        <f>RDG!G25</f>
        <v>142</v>
      </c>
      <c r="G143" s="4">
        <f>IF(RDG!H25=0,"",RDG!H25)</f>
      </c>
      <c r="H143" s="30">
        <f t="shared" si="6"/>
        <v>6739531.58</v>
      </c>
      <c r="I143" s="4">
        <f t="shared" si="7"/>
        <v>0</v>
      </c>
      <c r="J143" s="31">
        <f>RDG!I25</f>
        <v>1553113</v>
      </c>
      <c r="K143" s="31">
        <f>RDG!J25</f>
        <v>1596518</v>
      </c>
    </row>
    <row r="144" spans="4:11" ht="12.75">
      <c r="D144" s="4" t="s">
        <v>541</v>
      </c>
      <c r="E144" s="4">
        <v>2</v>
      </c>
      <c r="F144" s="4">
        <f>RDG!G26</f>
        <v>143</v>
      </c>
      <c r="G144" s="4">
        <f>IF(RDG!H26=0,"",RDG!H26)</f>
      </c>
      <c r="H144" s="30">
        <f t="shared" si="6"/>
        <v>1875359.2</v>
      </c>
      <c r="I144" s="4">
        <f t="shared" si="7"/>
        <v>0</v>
      </c>
      <c r="J144" s="31">
        <f>RDG!I26</f>
        <v>29998</v>
      </c>
      <c r="K144" s="31">
        <f>RDG!J26</f>
        <v>640721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1901588</v>
      </c>
      <c r="I146" s="4">
        <f t="shared" si="7"/>
        <v>0</v>
      </c>
      <c r="J146" s="31">
        <f>RDG!I28</f>
        <v>29998</v>
      </c>
      <c r="K146" s="31">
        <f>RDG!J28</f>
        <v>640721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649556.91</v>
      </c>
      <c r="I154" s="4">
        <f t="shared" si="7"/>
        <v>0</v>
      </c>
      <c r="J154" s="31">
        <f>RDG!I36</f>
        <v>126403</v>
      </c>
      <c r="K154" s="31">
        <f>RDG!J36</f>
        <v>149072</v>
      </c>
    </row>
    <row r="155" spans="4:11" ht="12.75">
      <c r="D155" s="4" t="s">
        <v>541</v>
      </c>
      <c r="E155" s="4">
        <v>2</v>
      </c>
      <c r="F155" s="4">
        <f>RDG!G37</f>
        <v>154</v>
      </c>
      <c r="G155" s="4">
        <f>IF(RDG!H37=0,"",RDG!H37)</f>
      </c>
      <c r="H155" s="30">
        <f t="shared" si="6"/>
        <v>1964496.38</v>
      </c>
      <c r="I155" s="4">
        <f t="shared" si="7"/>
        <v>0</v>
      </c>
      <c r="J155" s="31">
        <f>RDG!I37</f>
        <v>616121</v>
      </c>
      <c r="K155" s="31">
        <f>RDG!J37</f>
        <v>329763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1969397.08</v>
      </c>
      <c r="I162" s="4">
        <f t="shared" si="7"/>
        <v>0</v>
      </c>
      <c r="J162" s="31">
        <f>RDG!I44</f>
        <v>605538</v>
      </c>
      <c r="K162" s="31">
        <f>RDG!J44</f>
        <v>308845</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85967.16</v>
      </c>
      <c r="I165" s="4">
        <f t="shared" si="7"/>
        <v>0</v>
      </c>
      <c r="J165" s="31">
        <f>RDG!I47</f>
        <v>10583</v>
      </c>
      <c r="K165" s="31">
        <f>RDG!J47</f>
        <v>20918</v>
      </c>
    </row>
    <row r="166" spans="4:11" ht="12.75">
      <c r="D166" s="4" t="s">
        <v>541</v>
      </c>
      <c r="E166" s="4">
        <v>2</v>
      </c>
      <c r="F166" s="4">
        <f>RDG!G48</f>
        <v>165</v>
      </c>
      <c r="G166" s="4">
        <f>IF(RDG!H48=0,"",RDG!H48)</f>
      </c>
      <c r="H166" s="30">
        <f t="shared" si="6"/>
        <v>120237.15</v>
      </c>
      <c r="I166" s="4">
        <f t="shared" si="7"/>
        <v>0</v>
      </c>
      <c r="J166" s="31">
        <f>RDG!I48</f>
        <v>32811</v>
      </c>
      <c r="K166" s="31">
        <f>RDG!J48</f>
        <v>20030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122423.28</v>
      </c>
      <c r="I169" s="4">
        <f t="shared" si="7"/>
        <v>0</v>
      </c>
      <c r="J169" s="31">
        <f>RDG!I51</f>
        <v>32811</v>
      </c>
      <c r="K169" s="31">
        <f>RDG!J51</f>
        <v>20030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128999001.84</v>
      </c>
      <c r="I178" s="4">
        <f t="shared" si="7"/>
        <v>0</v>
      </c>
      <c r="J178" s="31">
        <f>RDG!I60</f>
        <v>25613702</v>
      </c>
      <c r="K178" s="31">
        <f>RDG!J60</f>
        <v>23633545</v>
      </c>
    </row>
    <row r="179" spans="4:11" ht="12.75">
      <c r="D179" s="4" t="s">
        <v>541</v>
      </c>
      <c r="E179" s="4">
        <v>2</v>
      </c>
      <c r="F179" s="4">
        <f>RDG!G61</f>
        <v>178</v>
      </c>
      <c r="G179" s="4">
        <f>IF(RDG!H61=0,"",RDG!H61)</f>
      </c>
      <c r="H179" s="30">
        <f t="shared" si="6"/>
        <v>119309211.66</v>
      </c>
      <c r="I179" s="4">
        <f t="shared" si="7"/>
        <v>0</v>
      </c>
      <c r="J179" s="31">
        <f>RDG!I61</f>
        <v>20281715</v>
      </c>
      <c r="K179" s="31">
        <f>RDG!J61</f>
        <v>23372966</v>
      </c>
    </row>
    <row r="180" spans="4:11" ht="12.75">
      <c r="D180" s="4" t="s">
        <v>541</v>
      </c>
      <c r="E180" s="4">
        <v>2</v>
      </c>
      <c r="F180" s="4">
        <f>RDG!G62</f>
        <v>179</v>
      </c>
      <c r="G180" s="4">
        <f>IF(RDG!H62=0,"",RDG!H62)</f>
      </c>
      <c r="H180" s="30">
        <f t="shared" si="6"/>
        <v>10477129.55</v>
      </c>
      <c r="I180" s="4">
        <f t="shared" si="7"/>
        <v>0</v>
      </c>
      <c r="J180" s="31">
        <f>RDG!I62</f>
        <v>5331987</v>
      </c>
      <c r="K180" s="31">
        <f>RDG!J62</f>
        <v>260579</v>
      </c>
    </row>
    <row r="181" spans="4:11" ht="12.75">
      <c r="D181" s="4" t="s">
        <v>541</v>
      </c>
      <c r="E181" s="4">
        <v>2</v>
      </c>
      <c r="F181" s="4">
        <f>RDG!G63</f>
        <v>180</v>
      </c>
      <c r="G181" s="4">
        <f>IF(RDG!H63=0,"",RDG!H63)</f>
      </c>
      <c r="H181" s="30">
        <f t="shared" si="6"/>
        <v>10535661</v>
      </c>
      <c r="I181" s="4">
        <f t="shared" si="7"/>
        <v>0</v>
      </c>
      <c r="J181" s="31">
        <f>RDG!I63</f>
        <v>5331987</v>
      </c>
      <c r="K181" s="31">
        <f>RDG!J63</f>
        <v>260579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366451.54</v>
      </c>
      <c r="I183" s="4">
        <f t="shared" si="7"/>
        <v>0</v>
      </c>
      <c r="J183" s="31">
        <f>RDG!I65</f>
        <v>27217</v>
      </c>
      <c r="K183" s="31">
        <f>RDG!J65</f>
        <v>87065</v>
      </c>
    </row>
    <row r="184" spans="4:11" ht="12.75">
      <c r="D184" s="4" t="s">
        <v>541</v>
      </c>
      <c r="E184" s="4">
        <v>2</v>
      </c>
      <c r="F184" s="4">
        <f>RDG!G66</f>
        <v>183</v>
      </c>
      <c r="G184" s="4">
        <f>IF(RDG!H66=0,"",RDG!H66)</f>
      </c>
      <c r="H184" s="30">
        <f t="shared" si="6"/>
        <v>10342790.34</v>
      </c>
      <c r="I184" s="4">
        <f t="shared" si="7"/>
        <v>0</v>
      </c>
      <c r="J184" s="31">
        <f>RDG!I66</f>
        <v>5304770</v>
      </c>
      <c r="K184" s="31">
        <f>RDG!J66</f>
        <v>173514</v>
      </c>
    </row>
    <row r="185" spans="4:11" ht="12.75">
      <c r="D185" s="4" t="s">
        <v>541</v>
      </c>
      <c r="E185" s="4">
        <v>2</v>
      </c>
      <c r="F185" s="4">
        <f>RDG!G67</f>
        <v>184</v>
      </c>
      <c r="G185" s="4">
        <f>IF(RDG!H67=0,"",RDG!H67)</f>
      </c>
      <c r="H185" s="30">
        <f t="shared" si="6"/>
        <v>10399308.319999998</v>
      </c>
      <c r="I185" s="4">
        <f t="shared" si="7"/>
        <v>0</v>
      </c>
      <c r="J185" s="31">
        <f>RDG!I67</f>
        <v>5304770</v>
      </c>
      <c r="K185" s="31">
        <f>RDG!J67</f>
        <v>173514</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58531.450000000004</v>
      </c>
      <c r="I289" s="4">
        <f t="shared" si="15"/>
        <v>0</v>
      </c>
      <c r="J289" s="31">
        <f>NT_I!I9</f>
        <v>5331987</v>
      </c>
      <c r="K289" s="31">
        <f>NT_I!J9</f>
        <v>260579</v>
      </c>
    </row>
    <row r="290" spans="4:11" ht="12.75">
      <c r="D290" s="4" t="s">
        <v>1523</v>
      </c>
      <c r="E290" s="4">
        <v>4</v>
      </c>
      <c r="F290" s="4">
        <f>NT_I!G10</f>
        <v>2</v>
      </c>
      <c r="G290" s="4">
        <f>IF(NT_I!H10&lt;&gt;"",NT_I!H10,"")</f>
      </c>
      <c r="H290" s="30">
        <f t="shared" si="14"/>
        <v>381912.88</v>
      </c>
      <c r="I290" s="4">
        <f t="shared" si="15"/>
        <v>0</v>
      </c>
      <c r="J290" s="31">
        <f>NT_I!I10</f>
        <v>5787314</v>
      </c>
      <c r="K290" s="31">
        <f>NT_I!J10</f>
        <v>6654165</v>
      </c>
    </row>
    <row r="291" spans="4:11" ht="12.75">
      <c r="D291" s="4" t="s">
        <v>1523</v>
      </c>
      <c r="E291" s="4">
        <v>4</v>
      </c>
      <c r="F291" s="4">
        <f>NT_I!G11</f>
        <v>3</v>
      </c>
      <c r="G291" s="4">
        <f>IF(NT_I!H11&lt;&gt;"",NT_I!H11,"")</f>
      </c>
      <c r="H291" s="30">
        <f t="shared" si="14"/>
        <v>572869.32</v>
      </c>
      <c r="I291" s="4">
        <f t="shared" si="15"/>
        <v>0</v>
      </c>
      <c r="J291" s="31">
        <f>NT_I!I11</f>
        <v>5787314</v>
      </c>
      <c r="K291" s="31">
        <f>NT_I!J11</f>
        <v>6654165</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2744366.79</v>
      </c>
      <c r="I299" s="4">
        <f t="shared" si="17"/>
        <v>0</v>
      </c>
      <c r="J299" s="31">
        <f>NT_I!I19</f>
        <v>11119301</v>
      </c>
      <c r="K299" s="31">
        <f>NT_I!J19</f>
        <v>6914744</v>
      </c>
    </row>
    <row r="300" spans="4:11" ht="12.75">
      <c r="D300" s="4" t="s">
        <v>1523</v>
      </c>
      <c r="E300" s="4">
        <v>4</v>
      </c>
      <c r="F300" s="4">
        <f>NT_I!G20</f>
        <v>12</v>
      </c>
      <c r="G300" s="4">
        <f>IF(NT_I!H20&lt;&gt;"",NT_I!H20,"")</f>
      </c>
      <c r="H300" s="30">
        <f t="shared" si="16"/>
        <v>-633572.88</v>
      </c>
      <c r="I300" s="4">
        <f t="shared" si="17"/>
        <v>0</v>
      </c>
      <c r="J300" s="31">
        <f>NT_I!I20</f>
        <v>-1302198</v>
      </c>
      <c r="K300" s="31">
        <f>NT_I!J20</f>
        <v>-1988788</v>
      </c>
    </row>
    <row r="301" spans="4:11" ht="12.75">
      <c r="D301" s="4" t="s">
        <v>1523</v>
      </c>
      <c r="E301" s="4">
        <v>4</v>
      </c>
      <c r="F301" s="4">
        <f>NT_I!G21</f>
        <v>13</v>
      </c>
      <c r="G301" s="4">
        <f>IF(NT_I!H21&lt;&gt;"",NT_I!H21,"")</f>
      </c>
      <c r="H301" s="30">
        <f t="shared" si="16"/>
        <v>-574439.8400000001</v>
      </c>
      <c r="I301" s="4">
        <f t="shared" si="17"/>
        <v>0</v>
      </c>
      <c r="J301" s="31">
        <f>NT_I!I21</f>
        <v>-2059628</v>
      </c>
      <c r="K301" s="31">
        <f>NT_I!J21</f>
        <v>-1179570</v>
      </c>
    </row>
    <row r="302" spans="4:11" ht="12.75">
      <c r="D302" s="4" t="s">
        <v>1523</v>
      </c>
      <c r="E302" s="4">
        <v>4</v>
      </c>
      <c r="F302" s="4">
        <f>NT_I!G22</f>
        <v>14</v>
      </c>
      <c r="G302" s="4">
        <f>IF(NT_I!H22&lt;&gt;"",NT_I!H22,"")</f>
      </c>
      <c r="H302" s="30">
        <f t="shared" si="16"/>
        <v>-169398.59999999998</v>
      </c>
      <c r="I302" s="4">
        <f t="shared" si="17"/>
        <v>0</v>
      </c>
      <c r="J302" s="31">
        <f>NT_I!I22</f>
        <v>192798</v>
      </c>
      <c r="K302" s="31">
        <f>NT_I!J22</f>
        <v>-701394</v>
      </c>
    </row>
    <row r="303" spans="4:11" ht="12.75">
      <c r="D303" s="4" t="s">
        <v>1523</v>
      </c>
      <c r="E303" s="4">
        <v>4</v>
      </c>
      <c r="F303" s="4">
        <f>NT_I!G23</f>
        <v>15</v>
      </c>
      <c r="G303" s="4">
        <f>IF(NT_I!H23&lt;&gt;"",NT_I!H23,"")</f>
      </c>
      <c r="H303" s="30">
        <f t="shared" si="16"/>
        <v>63058.05</v>
      </c>
      <c r="I303" s="4">
        <f t="shared" si="17"/>
        <v>0</v>
      </c>
      <c r="J303" s="31">
        <f>NT_I!I23</f>
        <v>473305</v>
      </c>
      <c r="K303" s="31">
        <f>NT_I!J23</f>
        <v>-26459</v>
      </c>
    </row>
    <row r="304" spans="4:11" ht="12.75">
      <c r="D304" s="4" t="s">
        <v>1523</v>
      </c>
      <c r="E304" s="4">
        <v>4</v>
      </c>
      <c r="F304" s="4">
        <f>NT_I!G24</f>
        <v>16</v>
      </c>
      <c r="G304" s="4">
        <f>IF(NT_I!H24&lt;&gt;"",NT_I!H24,"")</f>
      </c>
      <c r="H304" s="30">
        <f t="shared" si="16"/>
        <v>-11424.48</v>
      </c>
      <c r="I304" s="4">
        <f t="shared" si="17"/>
        <v>0</v>
      </c>
      <c r="J304" s="31">
        <f>NT_I!I24</f>
        <v>91327</v>
      </c>
      <c r="K304" s="31">
        <f>NT_I!J24</f>
        <v>-81365</v>
      </c>
    </row>
    <row r="305" spans="4:11" ht="12.75">
      <c r="D305" s="4" t="s">
        <v>1523</v>
      </c>
      <c r="E305" s="4">
        <v>4</v>
      </c>
      <c r="F305" s="4">
        <f>NT_I!G25</f>
        <v>17</v>
      </c>
      <c r="G305" s="4">
        <f>IF(NT_I!H25&lt;&gt;"",NT_I!H25,"")</f>
      </c>
      <c r="H305" s="30">
        <f t="shared" si="16"/>
        <v>3343732.55</v>
      </c>
      <c r="I305" s="4">
        <f t="shared" si="17"/>
        <v>0</v>
      </c>
      <c r="J305" s="31">
        <f>NT_I!I25</f>
        <v>9817103</v>
      </c>
      <c r="K305" s="31">
        <f>NT_I!J25</f>
        <v>4925956</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3933803</v>
      </c>
      <c r="I308" s="4">
        <f t="shared" si="17"/>
        <v>0</v>
      </c>
      <c r="J308" s="31">
        <f>NT_I!I28</f>
        <v>9817103</v>
      </c>
      <c r="K308" s="31">
        <f>NT_I!J28</f>
        <v>4925956</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4720480.18</v>
      </c>
      <c r="I314" s="4">
        <f t="shared" si="17"/>
        <v>0</v>
      </c>
      <c r="J314" s="31">
        <f>NT_I!I35</f>
        <v>8990243</v>
      </c>
      <c r="K314" s="31">
        <f>NT_I!J35</f>
        <v>4582725</v>
      </c>
    </row>
    <row r="315" spans="4:11" ht="12.75">
      <c r="D315" s="4" t="s">
        <v>1523</v>
      </c>
      <c r="E315" s="4">
        <v>4</v>
      </c>
      <c r="F315" s="4">
        <f>NT_I!G36</f>
        <v>27</v>
      </c>
      <c r="G315" s="4">
        <f>IF(NT_I!H36&lt;&gt;"",NT_I!H36,"")</f>
      </c>
      <c r="H315" s="30">
        <f t="shared" si="16"/>
        <v>4902037.109999999</v>
      </c>
      <c r="I315" s="4">
        <f t="shared" si="17"/>
        <v>0</v>
      </c>
      <c r="J315" s="31">
        <f>NT_I!I36</f>
        <v>8990243</v>
      </c>
      <c r="K315" s="31">
        <f>NT_I!J36</f>
        <v>4582725</v>
      </c>
    </row>
    <row r="316" spans="4:11" ht="12.75">
      <c r="D316" s="4" t="s">
        <v>1523</v>
      </c>
      <c r="E316" s="4">
        <v>4</v>
      </c>
      <c r="F316" s="4">
        <f>NT_I!G37</f>
        <v>28</v>
      </c>
      <c r="G316" s="4">
        <f>IF(NT_I!H37&lt;&gt;"",NT_I!H37,"")</f>
      </c>
      <c r="H316" s="30">
        <f t="shared" si="16"/>
        <v>-12276975.2</v>
      </c>
      <c r="I316" s="4">
        <f t="shared" si="17"/>
        <v>0</v>
      </c>
      <c r="J316" s="31">
        <f>NT_I!I37</f>
        <v>-20115730</v>
      </c>
      <c r="K316" s="31">
        <f>NT_I!J37</f>
        <v>-11865305</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-14469292.2</v>
      </c>
      <c r="I321" s="4">
        <f t="shared" si="17"/>
        <v>0</v>
      </c>
      <c r="J321" s="31">
        <f>NT_I!I42</f>
        <v>-20115730</v>
      </c>
      <c r="K321" s="31">
        <f>NT_I!J42</f>
        <v>-11865305</v>
      </c>
    </row>
    <row r="322" spans="4:11" ht="12.75">
      <c r="D322" s="4" t="s">
        <v>1523</v>
      </c>
      <c r="E322" s="4">
        <v>4</v>
      </c>
      <c r="F322" s="4">
        <f>NT_I!G43</f>
        <v>34</v>
      </c>
      <c r="G322" s="4">
        <f>IF(NT_I!H43&lt;&gt;"",NT_I!H43,"")</f>
      </c>
      <c r="H322" s="30">
        <f t="shared" si="16"/>
        <v>-8734819.98</v>
      </c>
      <c r="I322" s="4">
        <f t="shared" si="17"/>
        <v>0</v>
      </c>
      <c r="J322" s="31">
        <f>NT_I!I43</f>
        <v>-11125487</v>
      </c>
      <c r="K322" s="31">
        <f>NT_I!J43</f>
        <v>-7282580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1900000</v>
      </c>
      <c r="I326" s="4">
        <f t="shared" si="17"/>
        <v>0</v>
      </c>
      <c r="J326" s="31">
        <f>NT_I!I48</f>
        <v>5000000</v>
      </c>
      <c r="K326" s="31">
        <f>NT_I!J48</f>
        <v>0</v>
      </c>
    </row>
    <row r="327" spans="4:11" ht="12.75">
      <c r="D327" s="4" t="s">
        <v>1523</v>
      </c>
      <c r="E327" s="4">
        <v>4</v>
      </c>
      <c r="F327" s="4">
        <f>NT_I!G49</f>
        <v>39</v>
      </c>
      <c r="G327" s="4">
        <f>IF(NT_I!H49&lt;&gt;"",NT_I!H49,"")</f>
      </c>
      <c r="H327" s="30">
        <f t="shared" si="16"/>
        <v>1950000</v>
      </c>
      <c r="I327" s="4">
        <f t="shared" si="17"/>
        <v>0</v>
      </c>
      <c r="J327" s="31">
        <f>NT_I!I49</f>
        <v>5000000</v>
      </c>
      <c r="K327" s="31">
        <f>NT_I!J49</f>
        <v>0</v>
      </c>
    </row>
    <row r="328" spans="4:11" ht="12.75">
      <c r="D328" s="4" t="s">
        <v>1523</v>
      </c>
      <c r="E328" s="4">
        <v>4</v>
      </c>
      <c r="F328" s="4">
        <f>NT_I!G50</f>
        <v>40</v>
      </c>
      <c r="G328" s="4">
        <f>IF(NT_I!H50&lt;&gt;"",NT_I!H50,"")</f>
      </c>
      <c r="H328" s="30">
        <f t="shared" si="16"/>
        <v>-1994065.2000000002</v>
      </c>
      <c r="I328" s="4">
        <f t="shared" si="17"/>
        <v>0</v>
      </c>
      <c r="J328" s="31">
        <f>NT_I!I50</f>
        <v>-1666881</v>
      </c>
      <c r="K328" s="31">
        <f>NT_I!J50</f>
        <v>-1659141</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-2243323.35</v>
      </c>
      <c r="I333" s="4">
        <f t="shared" si="19"/>
        <v>0</v>
      </c>
      <c r="J333" s="31">
        <f>NT_I!I55</f>
        <v>-1666881</v>
      </c>
      <c r="K333" s="31">
        <f>NT_I!J55</f>
        <v>-1659141</v>
      </c>
    </row>
    <row r="334" spans="4:11" ht="12.75">
      <c r="D334" s="4" t="s">
        <v>1523</v>
      </c>
      <c r="E334" s="4">
        <v>4</v>
      </c>
      <c r="F334" s="4">
        <f>NT_I!G56</f>
        <v>46</v>
      </c>
      <c r="G334" s="4">
        <f>IF(NT_I!H56&lt;&gt;"",NT_I!H56,"")</f>
      </c>
      <c r="H334" s="30">
        <f t="shared" si="18"/>
        <v>6825.0200000002515</v>
      </c>
      <c r="I334" s="4">
        <f t="shared" si="19"/>
        <v>0</v>
      </c>
      <c r="J334" s="31">
        <f>NT_I!I56</f>
        <v>3333119</v>
      </c>
      <c r="K334" s="31">
        <f>NT_I!J56</f>
        <v>-1659141</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-2883261.6000000006</v>
      </c>
      <c r="I336" s="4">
        <f t="shared" si="19"/>
        <v>0</v>
      </c>
      <c r="J336" s="31">
        <f>NT_I!I58</f>
        <v>2024735</v>
      </c>
      <c r="K336" s="31">
        <f>NT_I!J58</f>
        <v>-4015765</v>
      </c>
    </row>
    <row r="337" spans="4:11" ht="12.75">
      <c r="D337" s="4" t="s">
        <v>1523</v>
      </c>
      <c r="E337" s="4">
        <v>4</v>
      </c>
      <c r="F337" s="4">
        <f>NT_I!G59</f>
        <v>49</v>
      </c>
      <c r="G337" s="4">
        <f>IF(NT_I!H59&lt;&gt;"",NT_I!H59,"")</f>
      </c>
      <c r="H337" s="30">
        <f t="shared" si="18"/>
        <v>11081269.149999999</v>
      </c>
      <c r="I337" s="4">
        <f t="shared" si="19"/>
        <v>0</v>
      </c>
      <c r="J337" s="31">
        <f>NT_I!I59</f>
        <v>6188455</v>
      </c>
      <c r="K337" s="31">
        <f>NT_I!J59</f>
        <v>8213190</v>
      </c>
    </row>
    <row r="338" spans="4:11" ht="12.75">
      <c r="D338" s="4" t="s">
        <v>1523</v>
      </c>
      <c r="E338" s="4">
        <v>4</v>
      </c>
      <c r="F338" s="4">
        <f>NT_I!G60</f>
        <v>50</v>
      </c>
      <c r="G338" s="4">
        <f>IF(NT_I!H60&lt;&gt;"",NT_I!H60,"")</f>
      </c>
      <c r="H338" s="30">
        <f t="shared" si="18"/>
        <v>8304020</v>
      </c>
      <c r="I338" s="4">
        <f t="shared" si="19"/>
        <v>0</v>
      </c>
      <c r="J338" s="31">
        <f>NT_I!I60</f>
        <v>8213190</v>
      </c>
      <c r="K338" s="31">
        <f>NT_I!J60</f>
        <v>4197425</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9576458</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30891800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30891800</v>
      </c>
      <c r="X381" s="31">
        <f>PK!W10</f>
        <v>0</v>
      </c>
      <c r="Y381" s="31">
        <f>PK!X10</f>
        <v>30891800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10503212</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30891800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30891800</v>
      </c>
      <c r="X384" s="31">
        <f>PK!W13</f>
        <v>0</v>
      </c>
      <c r="Y384" s="31">
        <f>PK!X13</f>
        <v>30891800</v>
      </c>
    </row>
    <row r="385" spans="4:25" ht="12.75">
      <c r="D385" s="4" t="s">
        <v>542</v>
      </c>
      <c r="E385" s="4">
        <v>6</v>
      </c>
      <c r="F385" s="4">
        <f>PK!G14</f>
        <v>5</v>
      </c>
      <c r="G385" s="4">
        <f>IF(PK!H14&lt;&gt;"",PK!H14,"")</f>
      </c>
      <c r="H385" s="30">
        <f t="shared" si="22"/>
        <v>2281051.0999999996</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5304770</v>
      </c>
      <c r="W385" s="31">
        <f>PK!V14</f>
        <v>5304770</v>
      </c>
      <c r="X385" s="31">
        <f>PK!W14</f>
        <v>0</v>
      </c>
      <c r="Y385" s="31">
        <f>PK!X14</f>
        <v>5304770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613.8299999999999</v>
      </c>
      <c r="I396" s="31">
        <f t="shared" si="23"/>
        <v>0</v>
      </c>
      <c r="J396" s="31">
        <f>PK!I25</f>
        <v>0</v>
      </c>
      <c r="K396" s="31">
        <f>PK!J25</f>
        <v>0</v>
      </c>
      <c r="L396" s="31">
        <f>PK!K25</f>
        <v>0</v>
      </c>
      <c r="M396" s="31">
        <f>PK!L25</f>
        <v>0</v>
      </c>
      <c r="N396" s="31">
        <f>PK!M25</f>
        <v>0</v>
      </c>
      <c r="O396" s="31">
        <f>PK!N25</f>
        <v>0</v>
      </c>
      <c r="P396" s="31">
        <f>PK!O25</f>
        <v>1659</v>
      </c>
      <c r="Q396" s="31">
        <f>PK!P25</f>
        <v>0</v>
      </c>
      <c r="R396" s="31">
        <f>PK!Q25</f>
        <v>0</v>
      </c>
      <c r="S396" s="31">
        <f>PK!R25</f>
        <v>0</v>
      </c>
      <c r="T396" s="31">
        <f>PK!S25</f>
        <v>0</v>
      </c>
      <c r="U396" s="31">
        <f>PK!T25</f>
        <v>0</v>
      </c>
      <c r="V396" s="31">
        <f>PK!U25</f>
        <v>0</v>
      </c>
      <c r="W396" s="31">
        <f>PK!V25</f>
        <v>1659</v>
      </c>
      <c r="X396" s="31">
        <f>PK!W25</f>
        <v>0</v>
      </c>
      <c r="Y396" s="31">
        <f>PK!X25</f>
        <v>1659</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18654318.93</v>
      </c>
      <c r="I403" s="31">
        <f t="shared" si="23"/>
        <v>0</v>
      </c>
      <c r="J403" s="31">
        <f>PK!I32</f>
        <v>30891800</v>
      </c>
      <c r="K403" s="31">
        <f>PK!J32</f>
        <v>0</v>
      </c>
      <c r="L403" s="31">
        <f>PK!K32</f>
        <v>0</v>
      </c>
      <c r="M403" s="31">
        <f>PK!L32</f>
        <v>0</v>
      </c>
      <c r="N403" s="31">
        <f>PK!M32</f>
        <v>0</v>
      </c>
      <c r="O403" s="31">
        <f>PK!N32</f>
        <v>0</v>
      </c>
      <c r="P403" s="31">
        <f>PK!O32</f>
        <v>1659</v>
      </c>
      <c r="Q403" s="31">
        <f>PK!P32</f>
        <v>0</v>
      </c>
      <c r="R403" s="31">
        <f>PK!Q32</f>
        <v>0</v>
      </c>
      <c r="S403" s="31">
        <f>PK!R32</f>
        <v>0</v>
      </c>
      <c r="T403" s="31">
        <f>PK!S32</f>
        <v>0</v>
      </c>
      <c r="U403" s="31">
        <f>PK!T32</f>
        <v>0</v>
      </c>
      <c r="V403" s="31">
        <f>PK!U32</f>
        <v>5304770</v>
      </c>
      <c r="W403" s="31">
        <f>PK!V32</f>
        <v>36198229</v>
      </c>
      <c r="X403" s="31">
        <f>PK!W32</f>
        <v>0</v>
      </c>
      <c r="Y403" s="31">
        <f>PK!X32</f>
        <v>36198229</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20629326</v>
      </c>
      <c r="I407" s="31">
        <f t="shared" si="23"/>
        <v>0</v>
      </c>
      <c r="J407" s="31">
        <f>PK!I38</f>
        <v>36191800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36191800</v>
      </c>
      <c r="X407" s="31">
        <f>PK!W38</f>
        <v>0</v>
      </c>
      <c r="Y407" s="31">
        <f>PK!X38</f>
        <v>36191800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21715080</v>
      </c>
      <c r="I410" s="31">
        <f t="shared" si="23"/>
        <v>0</v>
      </c>
      <c r="J410" s="31">
        <f>PK!I41</f>
        <v>36191800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36191800</v>
      </c>
      <c r="X410" s="31">
        <f>PK!W41</f>
        <v>0</v>
      </c>
      <c r="Y410" s="31">
        <f>PK!X41</f>
        <v>36191800</v>
      </c>
    </row>
    <row r="411" spans="4:25" ht="12.75">
      <c r="D411" s="4" t="s">
        <v>542</v>
      </c>
      <c r="E411" s="4">
        <v>6</v>
      </c>
      <c r="F411" s="4">
        <f>PK!G42</f>
        <v>31</v>
      </c>
      <c r="G411" s="4">
        <f>IF(PK!H42&lt;&gt;"",PK!H42,"")</f>
      </c>
      <c r="H411" s="30">
        <f t="shared" si="22"/>
        <v>74611.02</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173514</v>
      </c>
      <c r="W411" s="31">
        <f>PK!V42</f>
        <v>173514</v>
      </c>
      <c r="X411" s="31">
        <f>PK!W42</f>
        <v>0</v>
      </c>
      <c r="Y411" s="31">
        <f>PK!X42</f>
        <v>173514</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2378.73</v>
      </c>
      <c r="I422" s="31">
        <f t="shared" si="23"/>
        <v>0</v>
      </c>
      <c r="J422" s="31">
        <f>PK!I53</f>
        <v>0</v>
      </c>
      <c r="K422" s="31">
        <f>PK!J53</f>
        <v>0</v>
      </c>
      <c r="L422" s="31">
        <f>PK!K53</f>
        <v>0</v>
      </c>
      <c r="M422" s="31">
        <f>PK!L53</f>
        <v>0</v>
      </c>
      <c r="N422" s="31">
        <f>PK!M53</f>
        <v>0</v>
      </c>
      <c r="O422" s="31">
        <f>PK!N53</f>
        <v>0</v>
      </c>
      <c r="P422" s="31">
        <f>PK!O53</f>
        <v>6429</v>
      </c>
      <c r="Q422" s="31">
        <f>PK!P53</f>
        <v>0</v>
      </c>
      <c r="R422" s="31">
        <f>PK!Q53</f>
        <v>0</v>
      </c>
      <c r="S422" s="31">
        <f>PK!R53</f>
        <v>0</v>
      </c>
      <c r="T422" s="31">
        <f>PK!S53</f>
        <v>0</v>
      </c>
      <c r="U422" s="31">
        <f>PK!T53</f>
        <v>0</v>
      </c>
      <c r="V422" s="31">
        <f>PK!U53</f>
        <v>0</v>
      </c>
      <c r="W422" s="31">
        <f>PK!V53</f>
        <v>6429</v>
      </c>
      <c r="X422" s="31">
        <f>PK!W53</f>
        <v>0</v>
      </c>
      <c r="Y422" s="31">
        <f>PK!X53</f>
        <v>6429</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28668511.75</v>
      </c>
      <c r="I429" s="31">
        <f t="shared" si="23"/>
        <v>0</v>
      </c>
      <c r="J429" s="31">
        <f>PK!I60</f>
        <v>36191800</v>
      </c>
      <c r="K429" s="31">
        <f>PK!J60</f>
        <v>0</v>
      </c>
      <c r="L429" s="31">
        <f>PK!K60</f>
        <v>0</v>
      </c>
      <c r="M429" s="31">
        <f>PK!L60</f>
        <v>0</v>
      </c>
      <c r="N429" s="31">
        <f>PK!M60</f>
        <v>0</v>
      </c>
      <c r="O429" s="31">
        <f>PK!N60</f>
        <v>0</v>
      </c>
      <c r="P429" s="31">
        <f>PK!O60</f>
        <v>6429</v>
      </c>
      <c r="Q429" s="31">
        <f>PK!P60</f>
        <v>0</v>
      </c>
      <c r="R429" s="31">
        <f>PK!Q60</f>
        <v>0</v>
      </c>
      <c r="S429" s="31">
        <f>PK!R60</f>
        <v>0</v>
      </c>
      <c r="T429" s="31">
        <f>PK!S60</f>
        <v>0</v>
      </c>
      <c r="U429" s="31">
        <f>PK!T60</f>
        <v>0</v>
      </c>
      <c r="V429" s="31">
        <f>PK!U60</f>
        <v>173514</v>
      </c>
      <c r="W429" s="31">
        <f>PK!V60</f>
        <v>36371743</v>
      </c>
      <c r="X429" s="31">
        <f>PK!W60</f>
        <v>0</v>
      </c>
      <c r="Y429" s="31">
        <f>PK!X60</f>
        <v>36371743</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58" activePane="bottomLeft" state="frozen"/>
      <selection pane="topLeft" activeCell="A2" sqref="A2"/>
      <selection pane="bottomLeft" activeCell="F2" sqref="F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VODOVOD d.o.o.</v>
      </c>
      <c r="X2" s="209" t="s">
        <v>207</v>
      </c>
      <c r="Y2" s="231">
        <f>IF(RefStr!C54&lt;&gt;"",RefStr!C54,"")</f>
        <v>100</v>
      </c>
      <c r="Z2" s="209" t="s">
        <v>2326</v>
      </c>
      <c r="AA2" s="231">
        <f>IF(RefStr!B64="","",RefStr!B64)</f>
      </c>
    </row>
    <row r="3" spans="1:27" ht="13.5" customHeight="1">
      <c r="A3" s="501" t="s">
        <v>2472</v>
      </c>
      <c r="B3" s="502"/>
      <c r="C3" s="502"/>
      <c r="D3" s="502"/>
      <c r="E3" s="502"/>
      <c r="F3" s="502"/>
      <c r="G3" s="502"/>
      <c r="H3" s="502"/>
      <c r="I3" s="509"/>
      <c r="J3" s="510"/>
      <c r="L3" s="145"/>
      <c r="M3" s="145"/>
      <c r="N3" s="208" t="s">
        <v>541</v>
      </c>
      <c r="O3" s="211">
        <f>RDG!Q1</f>
        <v>1</v>
      </c>
      <c r="P3" s="212">
        <f>RDG!Q2</f>
        <v>1</v>
      </c>
      <c r="Q3" s="232">
        <f>RDG!Q3</f>
        <v>1</v>
      </c>
      <c r="R3" s="211" t="s">
        <v>1824</v>
      </c>
      <c r="S3" s="232">
        <f>IF(RefStr!C50&lt;&gt;"",IF(ISERROR(INT(RefStr!C50)),0,RefStr!C50),0)</f>
        <v>3</v>
      </c>
      <c r="T3" s="211" t="s">
        <v>777</v>
      </c>
      <c r="U3" s="232" t="str">
        <f>RefStr!L21</f>
        <v>01008232760</v>
      </c>
      <c r="V3" s="211" t="s">
        <v>2355</v>
      </c>
      <c r="W3" s="232">
        <f>RefStr!C31</f>
        <v>21310</v>
      </c>
      <c r="X3" s="211" t="s">
        <v>208</v>
      </c>
      <c r="Y3" s="232">
        <f>IF(RefStr!F54&lt;&gt;"",RefStr!F54,"")</f>
        <v>0</v>
      </c>
      <c r="Z3" s="211" t="s">
        <v>2327</v>
      </c>
      <c r="AA3" s="232">
        <f>IF(RefStr!B66="","",RefStr!B66)</f>
      </c>
    </row>
    <row r="4" spans="1:27" ht="13.5" customHeight="1">
      <c r="A4" s="503"/>
      <c r="B4" s="504"/>
      <c r="C4" s="504"/>
      <c r="D4" s="504"/>
      <c r="E4" s="504"/>
      <c r="F4" s="504"/>
      <c r="G4" s="504"/>
      <c r="H4" s="504"/>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77317840351</v>
      </c>
      <c r="V4" s="211" t="s">
        <v>2356</v>
      </c>
      <c r="W4" s="232" t="str">
        <f>RefStr!F31</f>
        <v>OMIŠ</v>
      </c>
      <c r="X4" s="234" t="s">
        <v>222</v>
      </c>
      <c r="Y4" s="235" t="str">
        <f>RefStr!I68</f>
        <v>DA</v>
      </c>
      <c r="Z4" s="211" t="s">
        <v>2570</v>
      </c>
      <c r="AA4" s="232" t="str">
        <f>RefStr!N19</f>
        <v>HSFI</v>
      </c>
    </row>
    <row r="5" spans="1:27" ht="13.5" customHeight="1">
      <c r="A5" s="503"/>
      <c r="B5" s="504"/>
      <c r="C5" s="504"/>
      <c r="D5" s="504"/>
      <c r="E5" s="504"/>
      <c r="F5" s="504"/>
      <c r="G5" s="504"/>
      <c r="H5" s="504"/>
      <c r="I5" s="511"/>
      <c r="J5" s="512"/>
      <c r="L5" s="3"/>
      <c r="M5" s="3"/>
      <c r="N5" s="208" t="s">
        <v>1523</v>
      </c>
      <c r="O5" s="211">
        <f>NT_I!Q1</f>
        <v>1</v>
      </c>
      <c r="P5" s="212">
        <f>NT_I!Q2</f>
        <v>1</v>
      </c>
      <c r="Q5" s="232">
        <f>NT_I!Q3</f>
        <v>1</v>
      </c>
      <c r="R5" s="211" t="s">
        <v>1197</v>
      </c>
      <c r="S5" s="232">
        <f>IF(RefStr!C19&lt;&gt;"",IF(ISERROR(INT(RefStr!C19)),0,RefStr!C19),0)</f>
        <v>2</v>
      </c>
      <c r="T5" s="211" t="s">
        <v>2352</v>
      </c>
      <c r="U5" s="232" t="str">
        <f>RefStr!H27</f>
        <v>03114210</v>
      </c>
      <c r="V5" s="211" t="s">
        <v>2357</v>
      </c>
      <c r="W5" s="232" t="str">
        <f>RefStr!C33</f>
        <v>ČETVRT VRILO 6</v>
      </c>
      <c r="X5" s="234" t="s">
        <v>2517</v>
      </c>
      <c r="Y5" s="235" t="str">
        <f>RefStr!I62</f>
        <v>DA</v>
      </c>
      <c r="Z5" s="211" t="s">
        <v>691</v>
      </c>
      <c r="AA5" s="232">
        <f>RefStr!M46</f>
        <v>0</v>
      </c>
    </row>
    <row r="6" spans="1:27" ht="13.5" customHeight="1">
      <c r="A6" s="503"/>
      <c r="B6" s="504"/>
      <c r="C6" s="504"/>
      <c r="D6" s="504"/>
      <c r="E6" s="504"/>
      <c r="F6" s="504"/>
      <c r="G6" s="504"/>
      <c r="H6" s="504"/>
      <c r="I6" s="511"/>
      <c r="J6" s="512"/>
      <c r="L6" s="3"/>
      <c r="M6" s="3"/>
      <c r="N6" s="208" t="s">
        <v>1524</v>
      </c>
      <c r="O6" s="211">
        <f>NT_D!Q1</f>
        <v>0</v>
      </c>
      <c r="P6" s="212">
        <f>NT_D!Q2</f>
        <v>0</v>
      </c>
      <c r="Q6" s="232">
        <f>NT_D!Q3</f>
        <v>0</v>
      </c>
      <c r="R6" s="211" t="s">
        <v>1195</v>
      </c>
      <c r="S6" s="232" t="str">
        <f>RefStr!C21</f>
        <v>NE</v>
      </c>
      <c r="T6" s="211" t="s">
        <v>2353</v>
      </c>
      <c r="U6" s="232" t="str">
        <f>RefStr!M27</f>
        <v>060091313</v>
      </c>
      <c r="V6" s="211" t="s">
        <v>2568</v>
      </c>
      <c r="W6" s="232" t="str">
        <f>RefStr!L35</f>
        <v>021/755-110</v>
      </c>
      <c r="X6" s="211" t="s">
        <v>2514</v>
      </c>
      <c r="Y6" s="232" t="str">
        <f>RefStr!C68</f>
        <v>MARKO PEŠIĆ</v>
      </c>
      <c r="Z6" s="211" t="s">
        <v>1415</v>
      </c>
      <c r="AA6" s="232">
        <f>RefStr!C46</f>
        <v>0</v>
      </c>
    </row>
    <row r="7" spans="1:27" ht="13.5" customHeight="1">
      <c r="A7" s="503"/>
      <c r="B7" s="504"/>
      <c r="C7" s="504"/>
      <c r="D7" s="504"/>
      <c r="E7" s="504"/>
      <c r="F7" s="504"/>
      <c r="G7" s="504"/>
      <c r="H7" s="504"/>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1</v>
      </c>
      <c r="V7" s="211" t="s">
        <v>1193</v>
      </c>
      <c r="W7" s="232" t="str">
        <f>TRIM(UPPER(RefStr!C35))</f>
        <v>OMIS@VODOVOD.HR</v>
      </c>
      <c r="X7" s="211" t="s">
        <v>2515</v>
      </c>
      <c r="Y7" s="232" t="str">
        <f>RefStr!C70</f>
        <v>021/755-113</v>
      </c>
      <c r="Z7" s="211" t="s">
        <v>1416</v>
      </c>
      <c r="AA7" s="232">
        <f>RefStr!D46</f>
      </c>
    </row>
    <row r="8" spans="1:27" ht="13.5" customHeight="1">
      <c r="A8" s="505"/>
      <c r="B8" s="506"/>
      <c r="C8" s="506"/>
      <c r="D8" s="506"/>
      <c r="E8" s="506"/>
      <c r="F8" s="506"/>
      <c r="G8" s="506"/>
      <c r="H8" s="506"/>
      <c r="I8" s="507"/>
      <c r="J8" s="508"/>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Javno trgovačko društvo</v>
      </c>
      <c r="V8" s="211" t="s">
        <v>2574</v>
      </c>
      <c r="W8" s="232" t="str">
        <f>RefStr!C42</f>
        <v>3600</v>
      </c>
      <c r="X8" s="211" t="s">
        <v>2516</v>
      </c>
      <c r="Y8" s="232" t="str">
        <f>TRIM(UPPER(RefStr!C72))</f>
        <v>MARKO.PESIC@VODOVOD.HR</v>
      </c>
      <c r="Z8" s="236" t="s">
        <v>218</v>
      </c>
      <c r="AA8" s="237" t="str">
        <f>RefStr!I56</f>
        <v>DA</v>
      </c>
    </row>
    <row r="9" spans="1:27" ht="13.5" customHeight="1">
      <c r="A9" s="513" t="s">
        <v>566</v>
      </c>
      <c r="B9" s="513"/>
      <c r="C9" s="513" t="s">
        <v>727</v>
      </c>
      <c r="D9" s="513"/>
      <c r="E9" s="513"/>
      <c r="F9" s="513"/>
      <c r="G9" s="513"/>
      <c r="H9" s="513"/>
      <c r="I9" s="513"/>
      <c r="J9" s="513"/>
      <c r="L9" s="195"/>
      <c r="M9" s="195"/>
      <c r="O9" s="230" t="s">
        <v>614</v>
      </c>
      <c r="P9" s="209">
        <f>RefStr!C58</f>
        <v>63</v>
      </c>
      <c r="Q9" s="231">
        <f>RefStr!F58</f>
        <v>62</v>
      </c>
      <c r="R9" s="211" t="s">
        <v>1860</v>
      </c>
      <c r="S9" s="232">
        <f>IF(RefStr!F4&lt;&gt;"",RefStr!F4,0)</f>
        <v>43100</v>
      </c>
      <c r="T9" s="211" t="s">
        <v>1821</v>
      </c>
      <c r="U9" s="232">
        <f>RefStr!C39</f>
        <v>300</v>
      </c>
      <c r="V9" s="211" t="s">
        <v>1414</v>
      </c>
      <c r="W9" s="232" t="str">
        <f>RefStr!D42</f>
        <v>Skupljanje, pročišćavanje i opskrba vo...</v>
      </c>
      <c r="X9" s="238" t="s">
        <v>221</v>
      </c>
      <c r="Y9" s="239" t="str">
        <f>RefStr!I66</f>
        <v>DA</v>
      </c>
      <c r="Z9" s="236" t="s">
        <v>219</v>
      </c>
      <c r="AA9" s="237" t="str">
        <f>RefStr!I64</f>
        <v>DA</v>
      </c>
    </row>
    <row r="10" spans="1:27" ht="13.5" customHeight="1">
      <c r="A10" s="514"/>
      <c r="B10" s="514"/>
      <c r="C10" s="514"/>
      <c r="D10" s="514"/>
      <c r="E10" s="514"/>
      <c r="F10" s="514"/>
      <c r="G10" s="514"/>
      <c r="H10" s="514"/>
      <c r="I10" s="514"/>
      <c r="J10" s="514"/>
      <c r="L10" s="195"/>
      <c r="M10" s="195"/>
      <c r="O10" s="230" t="s">
        <v>2123</v>
      </c>
      <c r="P10" s="213">
        <f>RefStr!C56</f>
        <v>64</v>
      </c>
      <c r="Q10" s="233">
        <f>RefStr!F56</f>
        <v>62</v>
      </c>
      <c r="R10" s="213" t="s">
        <v>1863</v>
      </c>
      <c r="S10" s="233">
        <f>RefStr!C23</f>
        <v>1</v>
      </c>
      <c r="T10" s="213" t="s">
        <v>2573</v>
      </c>
      <c r="U10" s="233" t="str">
        <f>RefStr!D39</f>
        <v>Omiš</v>
      </c>
      <c r="V10" s="240"/>
      <c r="W10" s="241"/>
      <c r="X10" s="242" t="s">
        <v>1974</v>
      </c>
      <c r="Y10" s="243">
        <f>RefStr!F12</f>
        <v>2017</v>
      </c>
      <c r="Z10" s="213" t="s">
        <v>209</v>
      </c>
      <c r="AA10" s="233" t="str">
        <f>RefStr!A75</f>
        <v>MATKO KOVAČEVIĆ</v>
      </c>
    </row>
    <row r="11" spans="1:25" ht="13.5" customHeight="1">
      <c r="A11" s="515" t="s">
        <v>642</v>
      </c>
      <c r="B11" s="516"/>
      <c r="C11" s="516"/>
      <c r="D11" s="516"/>
      <c r="E11" s="516"/>
      <c r="F11" s="516"/>
      <c r="G11" s="516"/>
      <c r="H11" s="516"/>
      <c r="I11" s="516"/>
      <c r="J11" s="517"/>
      <c r="L11" s="195"/>
      <c r="M11" s="195"/>
      <c r="N11" s="208"/>
      <c r="O11" s="215"/>
      <c r="P11" s="215"/>
      <c r="Q11" s="215"/>
      <c r="X11" s="3"/>
      <c r="Y11" s="3"/>
    </row>
    <row r="12" spans="1:15" ht="19.5" customHeight="1">
      <c r="A12" s="219">
        <v>1</v>
      </c>
      <c r="B12" s="221" t="str">
        <f aca="true" t="shared" si="0" ref="B12:B41">IF(L12=1,"Pogreška",IF(M12=1,"Provjera","OK"))</f>
        <v>OK</v>
      </c>
      <c r="C12" s="491" t="s">
        <v>616</v>
      </c>
      <c r="D12" s="491"/>
      <c r="E12" s="491"/>
      <c r="F12" s="491"/>
      <c r="G12" s="491"/>
      <c r="H12" s="491"/>
      <c r="I12" s="491"/>
      <c r="J12" s="491"/>
      <c r="L12" s="195">
        <f aca="true" t="shared" si="1" ref="L12:L19">MAX(N12:R12)</f>
        <v>0</v>
      </c>
      <c r="M12" s="195"/>
      <c r="N12" s="198">
        <f>IF(OR(S8=0,S9=0,S8&gt;=S9),1,0)</f>
        <v>0</v>
      </c>
      <c r="O12" s="198">
        <f>IF(AND(S9-S8&gt;366,OR(S2&lt;&gt;30,S5=1)),1,0)</f>
        <v>0</v>
      </c>
    </row>
    <row r="13" spans="1:14" ht="26.25" customHeight="1">
      <c r="A13" s="219">
        <f>A12+1</f>
        <v>2</v>
      </c>
      <c r="B13" s="221" t="str">
        <f t="shared" si="0"/>
        <v>OK</v>
      </c>
      <c r="C13" s="491" t="s">
        <v>2571</v>
      </c>
      <c r="D13" s="491"/>
      <c r="E13" s="491"/>
      <c r="F13" s="491"/>
      <c r="G13" s="491"/>
      <c r="H13" s="491"/>
      <c r="I13" s="491"/>
      <c r="J13" s="491"/>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1" t="s">
        <v>641</v>
      </c>
      <c r="D14" s="491"/>
      <c r="E14" s="491"/>
      <c r="F14" s="491"/>
      <c r="G14" s="491"/>
      <c r="H14" s="491"/>
      <c r="I14" s="491"/>
      <c r="J14" s="491"/>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1" t="s">
        <v>2532</v>
      </c>
      <c r="D15" s="491"/>
      <c r="E15" s="491"/>
      <c r="F15" s="491"/>
      <c r="G15" s="491"/>
      <c r="H15" s="491"/>
      <c r="I15" s="491"/>
      <c r="J15" s="491"/>
      <c r="L15" s="195">
        <f t="shared" si="1"/>
        <v>0</v>
      </c>
      <c r="M15" s="195"/>
      <c r="N15" s="195">
        <f>IF(AND(S6&lt;&gt;"DA",S6&lt;&gt;"NE"),1,0)</f>
        <v>0</v>
      </c>
      <c r="O15" s="195">
        <f>IF(AND(S6="DA",S5&lt;&gt;2),1,0)</f>
        <v>0</v>
      </c>
    </row>
    <row r="16" spans="1:15" ht="27" customHeight="1">
      <c r="A16" s="219">
        <f t="shared" si="2"/>
        <v>5</v>
      </c>
      <c r="B16" s="221" t="str">
        <f t="shared" si="0"/>
        <v>OK</v>
      </c>
      <c r="C16" s="491" t="s">
        <v>1653</v>
      </c>
      <c r="D16" s="491"/>
      <c r="E16" s="491"/>
      <c r="F16" s="491"/>
      <c r="G16" s="491"/>
      <c r="H16" s="491"/>
      <c r="I16" s="491"/>
      <c r="J16" s="491"/>
      <c r="L16" s="195">
        <f t="shared" si="1"/>
        <v>0</v>
      </c>
      <c r="M16" s="195"/>
      <c r="N16" s="195">
        <f>IF(AND(S5&lt;&gt;1,S5&lt;&gt;2,S5&lt;&gt;3),1,0)</f>
        <v>0</v>
      </c>
      <c r="O16" s="195">
        <f>IF(AND(S5&gt;1,U7&gt;7,U7&lt;&gt;12),1,0)</f>
        <v>0</v>
      </c>
    </row>
    <row r="17" spans="1:20" ht="88.5" customHeight="1">
      <c r="A17" s="219">
        <f t="shared" si="2"/>
        <v>6</v>
      </c>
      <c r="B17" s="221" t="str">
        <f t="shared" si="0"/>
        <v>OK</v>
      </c>
      <c r="C17" s="491" t="s">
        <v>315</v>
      </c>
      <c r="D17" s="491"/>
      <c r="E17" s="491"/>
      <c r="F17" s="491"/>
      <c r="G17" s="491"/>
      <c r="H17" s="491"/>
      <c r="I17" s="491"/>
      <c r="J17" s="491"/>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1" t="s">
        <v>2531</v>
      </c>
      <c r="D18" s="491"/>
      <c r="E18" s="491"/>
      <c r="F18" s="491"/>
      <c r="G18" s="491"/>
      <c r="H18" s="491"/>
      <c r="I18" s="491"/>
      <c r="J18" s="491"/>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1" t="s">
        <v>113</v>
      </c>
      <c r="D19" s="491"/>
      <c r="E19" s="491"/>
      <c r="F19" s="491"/>
      <c r="G19" s="491"/>
      <c r="H19" s="491"/>
      <c r="I19" s="491"/>
      <c r="J19" s="491"/>
      <c r="L19" s="195">
        <f t="shared" si="1"/>
        <v>0</v>
      </c>
      <c r="M19" s="195"/>
      <c r="N19" s="195">
        <f>IF(ISNUMBER(VALUE(U4)),0,1)</f>
        <v>0</v>
      </c>
      <c r="O19" s="195">
        <f>IF(U4=0,1,0)</f>
        <v>0</v>
      </c>
      <c r="P19" s="198">
        <f>IF(LEN(U4)&gt;11,1,0)</f>
        <v>0</v>
      </c>
    </row>
    <row r="20" spans="1:19" ht="41.25" customHeight="1">
      <c r="A20" s="219">
        <f t="shared" si="2"/>
        <v>9</v>
      </c>
      <c r="B20" s="221" t="str">
        <f t="shared" si="0"/>
        <v>OK</v>
      </c>
      <c r="C20" s="491" t="s">
        <v>2564</v>
      </c>
      <c r="D20" s="491"/>
      <c r="E20" s="491"/>
      <c r="F20" s="491"/>
      <c r="G20" s="491"/>
      <c r="H20" s="491"/>
      <c r="I20" s="491"/>
      <c r="J20" s="491"/>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1" t="s">
        <v>2565</v>
      </c>
      <c r="D21" s="491"/>
      <c r="E21" s="491"/>
      <c r="F21" s="491"/>
      <c r="G21" s="491"/>
      <c r="H21" s="491"/>
      <c r="I21" s="491"/>
      <c r="J21" s="491"/>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1" t="s">
        <v>2566</v>
      </c>
      <c r="D22" s="491"/>
      <c r="E22" s="491"/>
      <c r="F22" s="491"/>
      <c r="G22" s="491"/>
      <c r="H22" s="491"/>
      <c r="I22" s="491"/>
      <c r="J22" s="491"/>
      <c r="L22" s="195">
        <f>MAX(N22:R22)</f>
        <v>0</v>
      </c>
      <c r="M22" s="195"/>
      <c r="N22" s="195">
        <f>IF(OR(LEN(W2)&lt;3,W2=0),1,0)</f>
        <v>0</v>
      </c>
      <c r="O22" s="195"/>
    </row>
    <row r="23" spans="1:17" ht="25.5" customHeight="1">
      <c r="A23" s="219">
        <f t="shared" si="2"/>
        <v>12</v>
      </c>
      <c r="B23" s="221" t="str">
        <f t="shared" si="0"/>
        <v>OK</v>
      </c>
      <c r="C23" s="491" t="s">
        <v>2567</v>
      </c>
      <c r="D23" s="491"/>
      <c r="E23" s="491"/>
      <c r="F23" s="491"/>
      <c r="G23" s="491"/>
      <c r="H23" s="491"/>
      <c r="I23" s="491"/>
      <c r="J23" s="491"/>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1" t="s">
        <v>2572</v>
      </c>
      <c r="D24" s="491"/>
      <c r="E24" s="491"/>
      <c r="F24" s="491"/>
      <c r="G24" s="491"/>
      <c r="H24" s="491"/>
      <c r="I24" s="491"/>
      <c r="J24" s="491"/>
      <c r="L24" s="195">
        <f>MAX(N24:R24)</f>
        <v>0</v>
      </c>
      <c r="M24" s="195"/>
      <c r="N24" s="195">
        <f>IF(OR(W5=0,W6=0),1,0)</f>
        <v>0</v>
      </c>
      <c r="O24" s="195">
        <f>IF(LEN(W5)&lt;4,1,0)</f>
        <v>0</v>
      </c>
      <c r="P24" s="198">
        <f>IF(LEN(W6)&lt;6,1,0)</f>
        <v>0</v>
      </c>
    </row>
    <row r="25" spans="1:60" ht="24.75" customHeight="1">
      <c r="A25" s="219">
        <f t="shared" si="2"/>
        <v>14</v>
      </c>
      <c r="B25" s="221" t="str">
        <f t="shared" si="0"/>
        <v>OK</v>
      </c>
      <c r="C25" s="491" t="s">
        <v>2132</v>
      </c>
      <c r="D25" s="491"/>
      <c r="E25" s="491"/>
      <c r="F25" s="491"/>
      <c r="G25" s="491"/>
      <c r="H25" s="491"/>
      <c r="I25" s="491"/>
      <c r="J25" s="491"/>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1" t="s">
        <v>1417</v>
      </c>
      <c r="D26" s="491"/>
      <c r="E26" s="491"/>
      <c r="F26" s="491"/>
      <c r="G26" s="491"/>
      <c r="H26" s="491"/>
      <c r="I26" s="491"/>
      <c r="J26" s="491"/>
      <c r="L26" s="195">
        <f>MAX(N26:R26)</f>
        <v>0</v>
      </c>
      <c r="M26" s="195"/>
      <c r="N26" s="195">
        <f>IF(OR(U9&lt;1,U9&gt;631),1,0)</f>
        <v>0</v>
      </c>
      <c r="O26" s="195">
        <f>IF(U10="Šifra grada/općine ne postoji",1,0)</f>
        <v>0</v>
      </c>
    </row>
    <row r="27" spans="1:14" ht="19.5" customHeight="1">
      <c r="A27" s="219">
        <f t="shared" si="2"/>
        <v>16</v>
      </c>
      <c r="B27" s="221" t="str">
        <f t="shared" si="0"/>
        <v>OK</v>
      </c>
      <c r="C27" s="491" t="s">
        <v>2128</v>
      </c>
      <c r="D27" s="491"/>
      <c r="E27" s="491"/>
      <c r="F27" s="491"/>
      <c r="G27" s="491"/>
      <c r="H27" s="491"/>
      <c r="I27" s="491"/>
      <c r="J27" s="491"/>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1" t="s">
        <v>2133</v>
      </c>
      <c r="D28" s="491"/>
      <c r="E28" s="491"/>
      <c r="F28" s="491"/>
      <c r="G28" s="491"/>
      <c r="H28" s="491"/>
      <c r="I28" s="491"/>
      <c r="J28" s="491"/>
      <c r="L28" s="195">
        <f>MAX(N28:T28)</f>
        <v>0</v>
      </c>
      <c r="M28" s="195"/>
      <c r="N28" s="195">
        <f>IF(AND(S7=10,OR(U7&lt;8,U7=12)),1,0)</f>
        <v>0</v>
      </c>
      <c r="O28" s="198">
        <f>IF(AND(S7&lt;10,OR(U7=9,U7=10,U7=11,U7&gt;12)),1,0)</f>
        <v>0</v>
      </c>
    </row>
    <row r="29" spans="1:15" ht="42" customHeight="1">
      <c r="A29" s="219">
        <f t="shared" si="2"/>
        <v>18</v>
      </c>
      <c r="B29" s="221" t="str">
        <f t="shared" si="3"/>
        <v>OK</v>
      </c>
      <c r="C29" s="491" t="s">
        <v>2129</v>
      </c>
      <c r="D29" s="491"/>
      <c r="E29" s="491"/>
      <c r="F29" s="491"/>
      <c r="G29" s="491"/>
      <c r="H29" s="491"/>
      <c r="I29" s="491"/>
      <c r="J29" s="491"/>
      <c r="L29" s="195">
        <f>MAX(N29:S29)</f>
        <v>0</v>
      </c>
      <c r="M29" s="195"/>
      <c r="N29" s="195">
        <f>IF(AND(OR(S7=3,S7=6),OR(AA6=0,AA6="")),1,0)</f>
        <v>0</v>
      </c>
      <c r="O29" s="198">
        <f>IF(AND(AND(S7&lt;&gt;3,S7&lt;&gt;6),AND(AA6&lt;&gt;0,AA6&lt;&gt;"")),1,0)</f>
        <v>0</v>
      </c>
    </row>
    <row r="30" spans="1:16" ht="65.25" customHeight="1">
      <c r="A30" s="219">
        <f t="shared" si="2"/>
        <v>19</v>
      </c>
      <c r="B30" s="221" t="str">
        <f t="shared" si="3"/>
        <v>OK</v>
      </c>
      <c r="C30" s="491" t="s">
        <v>174</v>
      </c>
      <c r="D30" s="491"/>
      <c r="E30" s="491"/>
      <c r="F30" s="491"/>
      <c r="G30" s="491"/>
      <c r="H30" s="491"/>
      <c r="I30" s="491"/>
      <c r="J30" s="491"/>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1" t="s">
        <v>2134</v>
      </c>
      <c r="D31" s="491"/>
      <c r="E31" s="491"/>
      <c r="F31" s="491"/>
      <c r="G31" s="491"/>
      <c r="H31" s="491"/>
      <c r="I31" s="491"/>
      <c r="J31" s="491"/>
      <c r="L31" s="195">
        <f aca="true" t="shared" si="4" ref="L31:L38">MAX(N31:R31)</f>
        <v>0</v>
      </c>
      <c r="M31" s="195"/>
      <c r="N31" s="195">
        <f>IF(AND(S6="DA",OR(S7=1,S7=2,S7=3,S7=9,S7=10)),1,0)</f>
        <v>0</v>
      </c>
    </row>
    <row r="32" spans="1:14" ht="40.5" customHeight="1">
      <c r="A32" s="219">
        <f t="shared" si="2"/>
        <v>21</v>
      </c>
      <c r="B32" s="221" t="str">
        <f t="shared" si="3"/>
        <v>OK</v>
      </c>
      <c r="C32" s="491" t="s">
        <v>2135</v>
      </c>
      <c r="D32" s="491"/>
      <c r="E32" s="491"/>
      <c r="F32" s="491"/>
      <c r="G32" s="491"/>
      <c r="H32" s="491"/>
      <c r="I32" s="491"/>
      <c r="J32" s="491"/>
      <c r="L32" s="195">
        <f t="shared" si="4"/>
        <v>0</v>
      </c>
      <c r="M32" s="195"/>
      <c r="N32" s="195">
        <f>IF(AND(S7&lt;10,OR(U7&gt;12,U7=8,U7=9,U7=10)),1,0)</f>
        <v>0</v>
      </c>
    </row>
    <row r="33" spans="1:14" ht="19.5" customHeight="1">
      <c r="A33" s="219">
        <f t="shared" si="2"/>
        <v>22</v>
      </c>
      <c r="B33" s="221" t="str">
        <f t="shared" si="3"/>
        <v>OK</v>
      </c>
      <c r="C33" s="491" t="s">
        <v>2533</v>
      </c>
      <c r="D33" s="491"/>
      <c r="E33" s="491"/>
      <c r="F33" s="491"/>
      <c r="G33" s="491"/>
      <c r="H33" s="491"/>
      <c r="I33" s="491"/>
      <c r="J33" s="491"/>
      <c r="L33" s="195">
        <f t="shared" si="4"/>
        <v>0</v>
      </c>
      <c r="M33" s="195"/>
      <c r="N33" s="195">
        <f>IF(AA7="Šifra države nepostojeća",1,0)</f>
        <v>0</v>
      </c>
    </row>
    <row r="34" spans="1:15" ht="19.5" customHeight="1">
      <c r="A34" s="219">
        <f t="shared" si="2"/>
        <v>23</v>
      </c>
      <c r="B34" s="221" t="str">
        <f t="shared" si="0"/>
        <v>OK</v>
      </c>
      <c r="C34" s="491" t="s">
        <v>1418</v>
      </c>
      <c r="D34" s="491"/>
      <c r="E34" s="491"/>
      <c r="F34" s="491"/>
      <c r="G34" s="491"/>
      <c r="H34" s="491"/>
      <c r="I34" s="491"/>
      <c r="J34" s="491"/>
      <c r="L34" s="195">
        <f t="shared" si="4"/>
        <v>0</v>
      </c>
      <c r="M34" s="195"/>
      <c r="N34" s="195">
        <f>IF(AND(OR(W8=0,W8=""),U7&lt;&gt;16),1,0)</f>
        <v>0</v>
      </c>
      <c r="O34" s="198">
        <f>IF(W9="Šifra NKD-a ne postoji",1,0)</f>
        <v>0</v>
      </c>
    </row>
    <row r="35" spans="1:15" ht="19.5" customHeight="1">
      <c r="A35" s="219">
        <f t="shared" si="2"/>
        <v>24</v>
      </c>
      <c r="B35" s="221" t="str">
        <f>IF(L35=1,"Pogreška",IF(M35=1,"Provjera","OK"))</f>
        <v>OK</v>
      </c>
      <c r="C35" s="491" t="s">
        <v>2136</v>
      </c>
      <c r="D35" s="491"/>
      <c r="E35" s="491"/>
      <c r="F35" s="491"/>
      <c r="G35" s="491"/>
      <c r="H35" s="491"/>
      <c r="I35" s="491"/>
      <c r="J35" s="491"/>
      <c r="L35" s="195">
        <f t="shared" si="4"/>
        <v>0</v>
      </c>
      <c r="M35" s="195"/>
      <c r="N35" s="195">
        <f>IF(AND(S3&lt;&gt;1,S3&lt;&gt;2,S3&lt;&gt;3,S3&lt;&gt;4),1,0)</f>
        <v>0</v>
      </c>
      <c r="O35" s="198">
        <f>IF(AND(S6="DA",S3=1),1,0)</f>
        <v>0</v>
      </c>
    </row>
    <row r="36" spans="1:14" ht="19.5" customHeight="1">
      <c r="A36" s="219">
        <f t="shared" si="2"/>
        <v>25</v>
      </c>
      <c r="B36" s="221" t="str">
        <f>IF(L36=1,"Pogreška",IF(M36=1,"Provjera","OK"))</f>
        <v>OK</v>
      </c>
      <c r="C36" s="491" t="s">
        <v>2137</v>
      </c>
      <c r="D36" s="491"/>
      <c r="E36" s="491"/>
      <c r="F36" s="491"/>
      <c r="G36" s="491"/>
      <c r="H36" s="491"/>
      <c r="I36" s="491"/>
      <c r="J36" s="491"/>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1" t="s">
        <v>206</v>
      </c>
      <c r="D37" s="491"/>
      <c r="E37" s="491"/>
      <c r="F37" s="491"/>
      <c r="G37" s="491"/>
      <c r="H37" s="491"/>
      <c r="I37" s="491"/>
      <c r="J37" s="491"/>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1" t="s">
        <v>2512</v>
      </c>
      <c r="D38" s="491"/>
      <c r="E38" s="491"/>
      <c r="F38" s="491"/>
      <c r="G38" s="491"/>
      <c r="H38" s="491"/>
      <c r="I38" s="491"/>
      <c r="J38" s="491"/>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1" t="s">
        <v>1502</v>
      </c>
      <c r="D39" s="491"/>
      <c r="E39" s="491"/>
      <c r="F39" s="491"/>
      <c r="G39" s="491"/>
      <c r="H39" s="491"/>
      <c r="I39" s="491"/>
      <c r="J39" s="491"/>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1" t="s">
        <v>2328</v>
      </c>
      <c r="D40" s="491"/>
      <c r="E40" s="491"/>
      <c r="F40" s="491"/>
      <c r="G40" s="491"/>
      <c r="H40" s="491"/>
      <c r="I40" s="491"/>
      <c r="J40" s="491"/>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1" t="s">
        <v>2329</v>
      </c>
      <c r="D41" s="491"/>
      <c r="E41" s="491"/>
      <c r="F41" s="491"/>
      <c r="G41" s="491"/>
      <c r="H41" s="491"/>
      <c r="I41" s="491"/>
      <c r="J41" s="491"/>
      <c r="L41" s="195">
        <f aca="true" t="shared" si="5" ref="L41:L49">MAX(N41:R41)</f>
        <v>0</v>
      </c>
      <c r="M41" s="195"/>
      <c r="N41" s="195">
        <f>IF(LEN(AA10)&lt;5,1,0)</f>
        <v>0</v>
      </c>
      <c r="O41" s="195"/>
    </row>
    <row r="42" spans="1:16" ht="19.5" customHeight="1">
      <c r="A42" s="518" t="s">
        <v>516</v>
      </c>
      <c r="B42" s="519"/>
      <c r="C42" s="519"/>
      <c r="D42" s="519"/>
      <c r="E42" s="519"/>
      <c r="F42" s="519"/>
      <c r="G42" s="519"/>
      <c r="H42" s="519"/>
      <c r="I42" s="519"/>
      <c r="J42" s="520"/>
      <c r="L42" s="195">
        <f t="shared" si="5"/>
        <v>0</v>
      </c>
      <c r="M42" s="195"/>
      <c r="N42" s="195"/>
      <c r="O42" s="195"/>
      <c r="P42" s="195"/>
    </row>
    <row r="43" spans="1:17" ht="30" customHeight="1">
      <c r="A43" s="219">
        <f>A41+1</f>
        <v>31</v>
      </c>
      <c r="B43" s="221" t="str">
        <f>IF(L43=1,"Pogreška",IF(M43=1,"Provjera","OK"))</f>
        <v>OK</v>
      </c>
      <c r="C43" s="491" t="s">
        <v>755</v>
      </c>
      <c r="D43" s="491"/>
      <c r="E43" s="491"/>
      <c r="F43" s="491"/>
      <c r="G43" s="491"/>
      <c r="H43" s="491"/>
      <c r="I43" s="491"/>
      <c r="J43" s="491"/>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1" t="s">
        <v>1029</v>
      </c>
      <c r="D44" s="491"/>
      <c r="E44" s="491"/>
      <c r="F44" s="491"/>
      <c r="G44" s="491"/>
      <c r="H44" s="491"/>
      <c r="I44" s="491"/>
      <c r="J44" s="491"/>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1" t="s">
        <v>1969</v>
      </c>
      <c r="D45" s="491"/>
      <c r="E45" s="491"/>
      <c r="F45" s="491"/>
      <c r="G45" s="491"/>
      <c r="H45" s="491"/>
      <c r="I45" s="491"/>
      <c r="J45" s="491"/>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1" t="s">
        <v>728</v>
      </c>
      <c r="D46" s="491"/>
      <c r="E46" s="491"/>
      <c r="F46" s="491"/>
      <c r="G46" s="491"/>
      <c r="H46" s="491"/>
      <c r="I46" s="491"/>
      <c r="J46" s="491"/>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1" t="s">
        <v>729</v>
      </c>
      <c r="D47" s="491"/>
      <c r="E47" s="491"/>
      <c r="F47" s="491"/>
      <c r="G47" s="491"/>
      <c r="H47" s="491"/>
      <c r="I47" s="491"/>
      <c r="J47" s="491"/>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1" t="s">
        <v>1970</v>
      </c>
      <c r="D48" s="491"/>
      <c r="E48" s="491"/>
      <c r="F48" s="491"/>
      <c r="G48" s="491"/>
      <c r="H48" s="491"/>
      <c r="I48" s="491"/>
      <c r="J48" s="491"/>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1" t="s">
        <v>2127</v>
      </c>
      <c r="D49" s="491"/>
      <c r="E49" s="491"/>
      <c r="F49" s="491"/>
      <c r="G49" s="491"/>
      <c r="H49" s="491"/>
      <c r="I49" s="491"/>
      <c r="J49" s="491"/>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1"/>
      <c r="E50" s="491"/>
      <c r="F50" s="491"/>
      <c r="G50" s="491"/>
      <c r="H50" s="491"/>
      <c r="I50" s="491"/>
      <c r="J50" s="491"/>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91" t="s">
        <v>1649</v>
      </c>
      <c r="D51" s="491"/>
      <c r="E51" s="491"/>
      <c r="F51" s="491"/>
      <c r="G51" s="491"/>
      <c r="H51" s="491"/>
      <c r="I51" s="491"/>
      <c r="J51" s="491"/>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1" t="s">
        <v>1650</v>
      </c>
      <c r="D52" s="491"/>
      <c r="E52" s="491"/>
      <c r="F52" s="491"/>
      <c r="G52" s="491"/>
      <c r="H52" s="491"/>
      <c r="I52" s="491"/>
      <c r="J52" s="491"/>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1</v>
      </c>
    </row>
    <row r="53" spans="1:15" ht="30" customHeight="1">
      <c r="A53" s="219">
        <f t="shared" si="6"/>
        <v>41</v>
      </c>
      <c r="B53" s="221" t="str">
        <f t="shared" si="7"/>
        <v>OK</v>
      </c>
      <c r="C53" s="491" t="s">
        <v>1129</v>
      </c>
      <c r="D53" s="491"/>
      <c r="E53" s="491"/>
      <c r="F53" s="491"/>
      <c r="G53" s="491"/>
      <c r="H53" s="491"/>
      <c r="I53" s="491"/>
      <c r="J53" s="491"/>
      <c r="L53" s="195">
        <f>MAX(N53:R53)</f>
        <v>0</v>
      </c>
      <c r="M53" s="195"/>
      <c r="N53" s="195">
        <f>IF(AND(S6="DA",AND(S2&lt;&gt;10,S2&lt;&gt;11,S2&lt;&gt;20,S2&lt;&gt;30)),1,0)</f>
        <v>0</v>
      </c>
      <c r="O53" s="195">
        <f>IF(AND(S5&lt;&gt;2,S6="DA"),1,0)</f>
        <v>0</v>
      </c>
    </row>
    <row r="54" spans="1:15" ht="30" customHeight="1">
      <c r="A54" s="219">
        <f t="shared" si="6"/>
        <v>42</v>
      </c>
      <c r="B54" s="221" t="str">
        <f t="shared" si="7"/>
        <v>OK</v>
      </c>
      <c r="C54" s="491" t="s">
        <v>2896</v>
      </c>
      <c r="D54" s="491"/>
      <c r="E54" s="491"/>
      <c r="F54" s="491"/>
      <c r="G54" s="491"/>
      <c r="H54" s="491"/>
      <c r="I54" s="491"/>
      <c r="J54" s="491"/>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1" t="s">
        <v>2897</v>
      </c>
      <c r="D55" s="491"/>
      <c r="E55" s="491"/>
      <c r="F55" s="491"/>
      <c r="G55" s="491"/>
      <c r="H55" s="491"/>
      <c r="I55" s="491"/>
      <c r="J55" s="491"/>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1" t="s">
        <v>2539</v>
      </c>
      <c r="D56" s="491"/>
      <c r="E56" s="491"/>
      <c r="F56" s="491"/>
      <c r="G56" s="491"/>
      <c r="H56" s="491"/>
      <c r="I56" s="491"/>
      <c r="J56" s="491"/>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1" t="s">
        <v>823</v>
      </c>
      <c r="D57" s="491"/>
      <c r="E57" s="491"/>
      <c r="F57" s="491"/>
      <c r="G57" s="491"/>
      <c r="H57" s="491"/>
      <c r="I57" s="491"/>
      <c r="J57" s="491"/>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1" t="s">
        <v>1030</v>
      </c>
      <c r="D58" s="491"/>
      <c r="E58" s="491"/>
      <c r="F58" s="491"/>
      <c r="G58" s="491"/>
      <c r="H58" s="491"/>
      <c r="I58" s="491"/>
      <c r="J58" s="491"/>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1" t="s">
        <v>1456</v>
      </c>
      <c r="D59" s="491"/>
      <c r="E59" s="491"/>
      <c r="F59" s="491"/>
      <c r="G59" s="491"/>
      <c r="H59" s="491"/>
      <c r="I59" s="491"/>
      <c r="J59" s="491"/>
      <c r="L59" s="200">
        <f>MAX(N59:Q59)</f>
        <v>0</v>
      </c>
      <c r="M59" s="195"/>
      <c r="N59" s="196">
        <f>IF(MIN(NT_I!I11:J11,NT_I!I15:J15,NT_I!I30:J36,NT_I!I59:J60)&lt;0,1,0)</f>
        <v>0</v>
      </c>
      <c r="O59" s="195"/>
      <c r="P59" s="195"/>
    </row>
    <row r="60" spans="1:16" ht="30" customHeight="1">
      <c r="A60" s="219">
        <f t="shared" si="10"/>
        <v>48</v>
      </c>
      <c r="B60" s="221" t="str">
        <f t="shared" si="11"/>
        <v>OK</v>
      </c>
      <c r="C60" s="491" t="s">
        <v>1457</v>
      </c>
      <c r="D60" s="491"/>
      <c r="E60" s="491"/>
      <c r="F60" s="491"/>
      <c r="G60" s="491"/>
      <c r="H60" s="491"/>
      <c r="I60" s="491"/>
      <c r="J60" s="491"/>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1" t="s">
        <v>1458</v>
      </c>
      <c r="D61" s="491"/>
      <c r="E61" s="491"/>
      <c r="F61" s="491"/>
      <c r="G61" s="491"/>
      <c r="H61" s="491"/>
      <c r="I61" s="491"/>
      <c r="J61" s="491"/>
      <c r="L61" s="200">
        <f>MAX(N61:Q61)</f>
        <v>0</v>
      </c>
      <c r="M61" s="195"/>
      <c r="N61" s="196">
        <f>IF(MIN(NT_D!I9:J12,NT_D!I22:J28,NT_D!I37:J41,NT_D!I51:J52)&lt;0,1,0)</f>
        <v>0</v>
      </c>
      <c r="O61" s="195"/>
      <c r="P61" s="195"/>
    </row>
    <row r="62" spans="1:16" ht="30" customHeight="1">
      <c r="A62" s="219">
        <f>A61+1</f>
        <v>50</v>
      </c>
      <c r="B62" s="221" t="str">
        <f>IF(L62=1,"Pogreška",IF(M62=1,"Provjera","OK"))</f>
        <v>OK</v>
      </c>
      <c r="C62" s="491" t="s">
        <v>1459</v>
      </c>
      <c r="D62" s="491"/>
      <c r="E62" s="491"/>
      <c r="F62" s="491"/>
      <c r="G62" s="491"/>
      <c r="H62" s="491"/>
      <c r="I62" s="491"/>
      <c r="J62" s="491"/>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1" t="s">
        <v>438</v>
      </c>
      <c r="D63" s="491"/>
      <c r="E63" s="491"/>
      <c r="F63" s="491"/>
      <c r="G63" s="491"/>
      <c r="H63" s="491"/>
      <c r="I63" s="491"/>
      <c r="J63" s="491"/>
      <c r="L63" s="200">
        <f>MAX(N63:Q63)</f>
        <v>0</v>
      </c>
      <c r="M63" s="195"/>
      <c r="N63" s="196">
        <f>IF(AND(S6="DA",ABS(RDG!I66-RDG!I85)&gt;1),1,0)</f>
        <v>0</v>
      </c>
      <c r="O63" s="196">
        <f>IF(AND(S6="DA",ABS(RDG!J66-RDG!J85)&gt;1),1,0)</f>
        <v>0</v>
      </c>
      <c r="P63" s="195"/>
    </row>
    <row r="64" spans="1:16" ht="30" customHeight="1">
      <c r="A64" s="219">
        <f t="shared" si="10"/>
        <v>52</v>
      </c>
      <c r="B64" s="221" t="str">
        <f t="shared" si="11"/>
        <v>OK</v>
      </c>
      <c r="C64" s="491" t="s">
        <v>439</v>
      </c>
      <c r="D64" s="491"/>
      <c r="E64" s="491"/>
      <c r="F64" s="491"/>
      <c r="G64" s="491"/>
      <c r="H64" s="491"/>
      <c r="I64" s="491"/>
      <c r="J64" s="491"/>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1" t="s">
        <v>440</v>
      </c>
      <c r="D65" s="491"/>
      <c r="E65" s="491"/>
      <c r="F65" s="491"/>
      <c r="G65" s="491"/>
      <c r="H65" s="491"/>
      <c r="I65" s="491"/>
      <c r="J65" s="491"/>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1" t="s">
        <v>1130</v>
      </c>
      <c r="D66" s="491"/>
      <c r="E66" s="491"/>
      <c r="F66" s="491"/>
      <c r="G66" s="491"/>
      <c r="H66" s="491"/>
      <c r="I66" s="491"/>
      <c r="J66" s="491"/>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1" t="s">
        <v>220</v>
      </c>
      <c r="D67" s="491"/>
      <c r="E67" s="491"/>
      <c r="F67" s="491"/>
      <c r="G67" s="491"/>
      <c r="H67" s="491"/>
      <c r="I67" s="491"/>
      <c r="J67" s="491"/>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0" t="s">
        <v>2895</v>
      </c>
      <c r="D68" s="495"/>
      <c r="E68" s="495"/>
      <c r="F68" s="495"/>
      <c r="G68" s="495"/>
      <c r="H68" s="495"/>
      <c r="I68" s="495"/>
      <c r="J68" s="496"/>
      <c r="L68" s="200">
        <f>MAX(N68:Q68)</f>
        <v>0</v>
      </c>
      <c r="M68" s="195"/>
      <c r="N68" s="196">
        <f>IF(AND(S3=4,AA4&lt;&gt;"MSFI",S6&lt;&gt;"DA"),1,0)</f>
        <v>0</v>
      </c>
      <c r="O68" s="196"/>
      <c r="P68" s="195"/>
    </row>
    <row r="69" spans="1:16" ht="30" customHeight="1">
      <c r="A69" s="219">
        <f t="shared" si="6"/>
        <v>57</v>
      </c>
      <c r="B69" s="221" t="str">
        <f t="shared" si="8"/>
        <v>OK</v>
      </c>
      <c r="C69" s="491" t="s">
        <v>756</v>
      </c>
      <c r="D69" s="491"/>
      <c r="E69" s="491"/>
      <c r="F69" s="491"/>
      <c r="G69" s="491"/>
      <c r="H69" s="491"/>
      <c r="I69" s="491"/>
      <c r="J69" s="491"/>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1" t="s">
        <v>1460</v>
      </c>
      <c r="D70" s="491"/>
      <c r="E70" s="491"/>
      <c r="F70" s="491"/>
      <c r="G70" s="491"/>
      <c r="H70" s="491"/>
      <c r="I70" s="491"/>
      <c r="J70" s="491"/>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1" t="s">
        <v>1031</v>
      </c>
      <c r="D71" s="495"/>
      <c r="E71" s="495"/>
      <c r="F71" s="495"/>
      <c r="G71" s="495"/>
      <c r="H71" s="495"/>
      <c r="I71" s="495"/>
      <c r="J71" s="496"/>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1" t="s">
        <v>818</v>
      </c>
      <c r="D72" s="491"/>
      <c r="E72" s="491"/>
      <c r="F72" s="491"/>
      <c r="G72" s="491"/>
      <c r="H72" s="491"/>
      <c r="I72" s="491"/>
      <c r="J72" s="491"/>
      <c r="L72" s="200">
        <f>MAX(N72:O72)</f>
        <v>0</v>
      </c>
      <c r="M72" s="196">
        <f>MAX(S72:W72)</f>
        <v>0</v>
      </c>
      <c r="N72" s="196">
        <f>IF(MIN(Dodatni!I9:J67,Dodatni!I71:I88)&lt;0,1,0)</f>
        <v>0</v>
      </c>
      <c r="O72" s="195"/>
      <c r="P72" s="196"/>
      <c r="Q72" s="197"/>
      <c r="S72" s="198">
        <f>IF(MIN(Dodatni!I68:J70)&lt;0,1,0)</f>
        <v>0</v>
      </c>
    </row>
    <row r="73" spans="1:16" ht="19.5" customHeight="1">
      <c r="A73" s="497" t="s">
        <v>114</v>
      </c>
      <c r="B73" s="498"/>
      <c r="C73" s="498"/>
      <c r="D73" s="498"/>
      <c r="E73" s="498"/>
      <c r="F73" s="498"/>
      <c r="G73" s="498"/>
      <c r="H73" s="498"/>
      <c r="I73" s="498"/>
      <c r="J73" s="499"/>
      <c r="L73" s="195">
        <f>MAX(N73:R73)</f>
        <v>0</v>
      </c>
      <c r="M73" s="195"/>
      <c r="N73" s="195"/>
      <c r="O73" s="195"/>
      <c r="P73" s="195"/>
    </row>
    <row r="74" spans="1:17" ht="33" customHeight="1">
      <c r="A74" s="219">
        <f>A72+1</f>
        <v>61</v>
      </c>
      <c r="B74" s="221" t="str">
        <f aca="true" t="shared" si="12" ref="B74:B88">IF(L74=1,"Pogreška",IF(M74=1,"Provjera","OK"))</f>
        <v>OK</v>
      </c>
      <c r="C74" s="491" t="s">
        <v>331</v>
      </c>
      <c r="D74" s="491"/>
      <c r="E74" s="491"/>
      <c r="F74" s="491"/>
      <c r="G74" s="491"/>
      <c r="H74" s="491"/>
      <c r="I74" s="491"/>
      <c r="J74" s="491"/>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1" t="s">
        <v>115</v>
      </c>
      <c r="D75" s="491"/>
      <c r="E75" s="491"/>
      <c r="F75" s="491"/>
      <c r="G75" s="491"/>
      <c r="H75" s="491"/>
      <c r="I75" s="491"/>
      <c r="J75" s="491"/>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1" t="s">
        <v>332</v>
      </c>
      <c r="D76" s="491"/>
      <c r="E76" s="491"/>
      <c r="F76" s="491"/>
      <c r="G76" s="491"/>
      <c r="H76" s="491"/>
      <c r="I76" s="491"/>
      <c r="J76" s="491"/>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1" t="s">
        <v>116</v>
      </c>
      <c r="D77" s="491"/>
      <c r="E77" s="491"/>
      <c r="F77" s="491"/>
      <c r="G77" s="491"/>
      <c r="H77" s="491"/>
      <c r="I77" s="491"/>
      <c r="J77" s="491"/>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1" t="s">
        <v>117</v>
      </c>
      <c r="D78" s="491"/>
      <c r="E78" s="491"/>
      <c r="F78" s="491"/>
      <c r="G78" s="491"/>
      <c r="H78" s="491"/>
      <c r="I78" s="491"/>
      <c r="J78" s="491"/>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1" t="s">
        <v>118</v>
      </c>
      <c r="D79" s="491"/>
      <c r="E79" s="491"/>
      <c r="F79" s="491"/>
      <c r="G79" s="491"/>
      <c r="H79" s="491"/>
      <c r="I79" s="491"/>
      <c r="J79" s="491"/>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1" t="s">
        <v>119</v>
      </c>
      <c r="D80" s="491"/>
      <c r="E80" s="491"/>
      <c r="F80" s="491"/>
      <c r="G80" s="491"/>
      <c r="H80" s="491"/>
      <c r="I80" s="491"/>
      <c r="J80" s="491"/>
      <c r="L80" s="195">
        <f t="shared" si="14"/>
        <v>0</v>
      </c>
      <c r="M80" s="195"/>
      <c r="N80" s="196">
        <f>IF(Dodatni!I23&gt;RDG!I9,1,0)</f>
        <v>0</v>
      </c>
      <c r="O80" s="196">
        <f>IF(Dodatni!J23&gt;RDG!J9,1,0)</f>
        <v>0</v>
      </c>
      <c r="P80" s="196"/>
      <c r="Q80" s="197"/>
    </row>
    <row r="81" spans="1:17" ht="19.5" customHeight="1">
      <c r="A81" s="219">
        <f t="shared" si="13"/>
        <v>68</v>
      </c>
      <c r="B81" s="221" t="str">
        <f t="shared" si="12"/>
        <v>OK</v>
      </c>
      <c r="C81" s="491" t="s">
        <v>120</v>
      </c>
      <c r="D81" s="491"/>
      <c r="E81" s="491"/>
      <c r="F81" s="491"/>
      <c r="G81" s="491"/>
      <c r="H81" s="491"/>
      <c r="I81" s="491"/>
      <c r="J81" s="491"/>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1" t="s">
        <v>121</v>
      </c>
      <c r="D82" s="491"/>
      <c r="E82" s="491"/>
      <c r="F82" s="491"/>
      <c r="G82" s="491"/>
      <c r="H82" s="491"/>
      <c r="I82" s="491"/>
      <c r="J82" s="491"/>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1" t="s">
        <v>122</v>
      </c>
      <c r="D83" s="491"/>
      <c r="E83" s="491"/>
      <c r="F83" s="491"/>
      <c r="G83" s="491"/>
      <c r="H83" s="491"/>
      <c r="I83" s="491"/>
      <c r="J83" s="491"/>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1" t="s">
        <v>123</v>
      </c>
      <c r="D84" s="491"/>
      <c r="E84" s="491"/>
      <c r="F84" s="491"/>
      <c r="G84" s="491"/>
      <c r="H84" s="491"/>
      <c r="I84" s="491"/>
      <c r="J84" s="491"/>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1" t="s">
        <v>175</v>
      </c>
      <c r="D85" s="491"/>
      <c r="E85" s="491"/>
      <c r="F85" s="491"/>
      <c r="G85" s="491"/>
      <c r="H85" s="491"/>
      <c r="I85" s="491"/>
      <c r="J85" s="491"/>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1" t="s">
        <v>124</v>
      </c>
      <c r="D86" s="491"/>
      <c r="E86" s="491"/>
      <c r="F86" s="491"/>
      <c r="G86" s="491"/>
      <c r="H86" s="491"/>
      <c r="I86" s="491"/>
      <c r="J86" s="491"/>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1" t="s">
        <v>126</v>
      </c>
      <c r="D87" s="491"/>
      <c r="E87" s="491"/>
      <c r="F87" s="491"/>
      <c r="G87" s="491"/>
      <c r="H87" s="491"/>
      <c r="I87" s="491"/>
      <c r="J87" s="491"/>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1" t="s">
        <v>127</v>
      </c>
      <c r="D88" s="491"/>
      <c r="E88" s="491"/>
      <c r="F88" s="491"/>
      <c r="G88" s="491"/>
      <c r="H88" s="491"/>
      <c r="I88" s="491"/>
      <c r="J88" s="491"/>
      <c r="L88" s="195">
        <f t="shared" si="14"/>
        <v>0</v>
      </c>
      <c r="M88" s="195"/>
      <c r="N88" s="195">
        <f>IF(Dodatni!I73&gt;RDG!I37,1,0)</f>
        <v>0</v>
      </c>
      <c r="O88" s="195">
        <f>IF(Dodatni!J73&gt;RDG!J37,1,0)</f>
        <v>0</v>
      </c>
      <c r="P88" s="195"/>
    </row>
    <row r="89" spans="1:16" ht="19.5" customHeight="1">
      <c r="A89" s="219">
        <f>A88+1</f>
        <v>76</v>
      </c>
      <c r="B89" s="221" t="str">
        <f>IF(L89=1,"Pogreška",IF(M89=1,"Provjera","OK"))</f>
        <v>OK</v>
      </c>
      <c r="C89" s="491" t="s">
        <v>128</v>
      </c>
      <c r="D89" s="491"/>
      <c r="E89" s="491"/>
      <c r="F89" s="491"/>
      <c r="G89" s="491"/>
      <c r="H89" s="491"/>
      <c r="I89" s="491"/>
      <c r="J89" s="491"/>
      <c r="L89" s="195">
        <f t="shared" si="14"/>
        <v>0</v>
      </c>
      <c r="M89" s="195"/>
      <c r="N89" s="195">
        <f>IF(Dodatni!I76&gt;RDG!I48,1,0)</f>
        <v>0</v>
      </c>
      <c r="O89" s="195">
        <f>IF(Dodatni!J76&gt;RDG!J48,1,0)</f>
        <v>0</v>
      </c>
      <c r="P89" s="195"/>
    </row>
    <row r="90" spans="1:16" ht="19.5" customHeight="1">
      <c r="A90" s="219">
        <f>A89+1</f>
        <v>77</v>
      </c>
      <c r="B90" s="221" t="str">
        <f>IF(L90=1,"Pogreška",IF(M90=1,"Provjera","OK"))</f>
        <v>OK</v>
      </c>
      <c r="C90" s="491" t="s">
        <v>1652</v>
      </c>
      <c r="D90" s="491"/>
      <c r="E90" s="491"/>
      <c r="F90" s="491"/>
      <c r="G90" s="491"/>
      <c r="H90" s="491"/>
      <c r="I90" s="491"/>
      <c r="J90" s="491"/>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1" t="s">
        <v>2534</v>
      </c>
      <c r="D91" s="491"/>
      <c r="E91" s="491"/>
      <c r="F91" s="491"/>
      <c r="G91" s="491"/>
      <c r="H91" s="491"/>
      <c r="I91" s="491"/>
      <c r="J91" s="491"/>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1" t="s">
        <v>2535</v>
      </c>
      <c r="D92" s="491"/>
      <c r="E92" s="491"/>
      <c r="F92" s="491"/>
      <c r="G92" s="491"/>
      <c r="H92" s="491"/>
      <c r="I92" s="491"/>
      <c r="J92" s="491"/>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1" t="s">
        <v>2536</v>
      </c>
      <c r="D93" s="491"/>
      <c r="E93" s="491"/>
      <c r="F93" s="491"/>
      <c r="G93" s="491"/>
      <c r="H93" s="491"/>
      <c r="I93" s="491"/>
      <c r="J93" s="491"/>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1" t="s">
        <v>2537</v>
      </c>
      <c r="D94" s="491"/>
      <c r="E94" s="491"/>
      <c r="F94" s="491"/>
      <c r="G94" s="491"/>
      <c r="H94" s="491"/>
      <c r="I94" s="491"/>
      <c r="J94" s="491"/>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1" t="s">
        <v>2538</v>
      </c>
      <c r="D95" s="491"/>
      <c r="E95" s="491"/>
      <c r="F95" s="491"/>
      <c r="G95" s="491"/>
      <c r="H95" s="491"/>
      <c r="I95" s="491"/>
      <c r="J95" s="491"/>
      <c r="L95" s="195">
        <v>0</v>
      </c>
      <c r="M95" s="195">
        <f>MAX(N95:O95)</f>
        <v>0</v>
      </c>
      <c r="N95" s="195">
        <f>IF(Dodatni!I52&gt;RDG!I18,1,0)</f>
        <v>0</v>
      </c>
      <c r="O95" s="195">
        <f>IF(Dodatni!J52&gt;RDG!J18,1,0)</f>
        <v>0</v>
      </c>
      <c r="P95" s="195"/>
    </row>
    <row r="96" spans="1:21" ht="41.25" customHeight="1">
      <c r="A96" s="219">
        <f t="shared" si="13"/>
        <v>83</v>
      </c>
      <c r="B96" s="221" t="str">
        <f t="shared" si="15"/>
        <v>OK</v>
      </c>
      <c r="C96" s="491" t="s">
        <v>757</v>
      </c>
      <c r="D96" s="491"/>
      <c r="E96" s="491"/>
      <c r="F96" s="491"/>
      <c r="G96" s="491"/>
      <c r="H96" s="491"/>
      <c r="I96" s="491"/>
      <c r="J96" s="491"/>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1" t="s">
        <v>2122</v>
      </c>
      <c r="D97" s="491"/>
      <c r="E97" s="491"/>
      <c r="F97" s="491"/>
      <c r="G97" s="491"/>
      <c r="H97" s="491"/>
      <c r="I97" s="491"/>
      <c r="J97" s="491"/>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1" t="s">
        <v>758</v>
      </c>
      <c r="D98" s="491"/>
      <c r="E98" s="491"/>
      <c r="F98" s="491"/>
      <c r="G98" s="491"/>
      <c r="H98" s="491"/>
      <c r="I98" s="491"/>
      <c r="J98" s="491"/>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1" t="s">
        <v>2124</v>
      </c>
      <c r="D99" s="491"/>
      <c r="E99" s="491"/>
      <c r="F99" s="491"/>
      <c r="G99" s="491"/>
      <c r="H99" s="491"/>
      <c r="I99" s="491"/>
      <c r="J99" s="491"/>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1" t="s">
        <v>2125</v>
      </c>
      <c r="D100" s="491"/>
      <c r="E100" s="491"/>
      <c r="F100" s="491"/>
      <c r="G100" s="491"/>
      <c r="H100" s="491"/>
      <c r="I100" s="491"/>
      <c r="J100" s="491"/>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1" t="s">
        <v>2126</v>
      </c>
      <c r="D101" s="491"/>
      <c r="E101" s="491"/>
      <c r="F101" s="491"/>
      <c r="G101" s="491"/>
      <c r="H101" s="491"/>
      <c r="I101" s="491"/>
      <c r="J101" s="491"/>
      <c r="L101" s="195">
        <v>0</v>
      </c>
      <c r="M101" s="195">
        <f t="shared" si="16"/>
        <v>0</v>
      </c>
      <c r="N101" s="195">
        <f>IF(AND(OR(S7=2,S7=3,S7=5,S7=6,S7=7),MIN(RDG!I9:J9,RDG!I12:J12)=0),1,0)</f>
        <v>0</v>
      </c>
      <c r="O101" s="195"/>
      <c r="P101" s="195"/>
    </row>
    <row r="102" spans="1:23" ht="30" customHeight="1">
      <c r="A102" s="219">
        <f t="shared" si="13"/>
        <v>89</v>
      </c>
      <c r="B102" s="221" t="str">
        <f t="shared" si="17"/>
        <v>OK</v>
      </c>
      <c r="C102" s="491" t="s">
        <v>821</v>
      </c>
      <c r="D102" s="491"/>
      <c r="E102" s="491"/>
      <c r="F102" s="491"/>
      <c r="G102" s="491"/>
      <c r="H102" s="491"/>
      <c r="I102" s="491"/>
      <c r="J102" s="491"/>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1" t="s">
        <v>822</v>
      </c>
      <c r="D103" s="491"/>
      <c r="E103" s="491"/>
      <c r="F103" s="491"/>
      <c r="G103" s="491"/>
      <c r="H103" s="491"/>
      <c r="I103" s="491"/>
      <c r="J103" s="491"/>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1" t="s">
        <v>819</v>
      </c>
      <c r="D104" s="491"/>
      <c r="E104" s="491"/>
      <c r="F104" s="491"/>
      <c r="G104" s="491"/>
      <c r="H104" s="491"/>
      <c r="I104" s="491"/>
      <c r="J104" s="491"/>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1" t="s">
        <v>820</v>
      </c>
      <c r="D105" s="491"/>
      <c r="E105" s="491"/>
      <c r="F105" s="491"/>
      <c r="G105" s="491"/>
      <c r="H105" s="491"/>
      <c r="I105" s="491"/>
      <c r="J105" s="491"/>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1" t="s">
        <v>1131</v>
      </c>
      <c r="D106" s="491"/>
      <c r="E106" s="491"/>
      <c r="F106" s="491"/>
      <c r="G106" s="491"/>
      <c r="H106" s="491"/>
      <c r="I106" s="491"/>
      <c r="J106" s="491"/>
      <c r="L106" s="195">
        <f>MAX(N106:R106)</f>
        <v>0</v>
      </c>
      <c r="M106" s="200"/>
      <c r="N106" s="200">
        <f>IF(MID(P106,2,1)&lt;&gt;".",1,0)</f>
        <v>0</v>
      </c>
      <c r="O106" s="200">
        <f>IF(MID(P106,6,1)&lt;&gt;",",1,0)</f>
        <v>0</v>
      </c>
      <c r="P106" s="195" t="str">
        <f>TEXT(1000.1,"#.000,00")</f>
        <v>1.000,10</v>
      </c>
    </row>
    <row r="107" spans="1:10" ht="19.5" customHeight="1">
      <c r="A107" s="492" t="s">
        <v>723</v>
      </c>
      <c r="B107" s="493"/>
      <c r="C107" s="493"/>
      <c r="D107" s="493"/>
      <c r="E107" s="493"/>
      <c r="F107" s="493"/>
      <c r="G107" s="493"/>
      <c r="H107" s="493"/>
      <c r="I107" s="493"/>
      <c r="J107" s="494"/>
    </row>
    <row r="108" spans="1:17" ht="54" customHeight="1">
      <c r="A108" s="219">
        <f>A106+1</f>
        <v>94</v>
      </c>
      <c r="B108" s="220" t="str">
        <f aca="true" t="shared" si="18" ref="B108:B120">IF(L108=1,"Pogreška",IF(M108=1,"Provjera","OK"))</f>
        <v>OK</v>
      </c>
      <c r="C108" s="491" t="s">
        <v>1032</v>
      </c>
      <c r="D108" s="491"/>
      <c r="E108" s="491"/>
      <c r="F108" s="491"/>
      <c r="G108" s="491"/>
      <c r="H108" s="491"/>
      <c r="I108" s="491"/>
      <c r="J108" s="491"/>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1" t="s">
        <v>2906</v>
      </c>
      <c r="D109" s="491"/>
      <c r="E109" s="491"/>
      <c r="F109" s="491"/>
      <c r="G109" s="491"/>
      <c r="H109" s="491"/>
      <c r="I109" s="491"/>
      <c r="J109" s="491"/>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1" t="s">
        <v>2012</v>
      </c>
      <c r="D110" s="491"/>
      <c r="E110" s="491"/>
      <c r="F110" s="491"/>
      <c r="G110" s="491"/>
      <c r="H110" s="491"/>
      <c r="I110" s="491"/>
      <c r="J110" s="491"/>
      <c r="L110" s="195">
        <f>MAX(N110:O110)</f>
        <v>0</v>
      </c>
      <c r="M110" s="195"/>
      <c r="N110" s="195">
        <f>IF(AND(S5=1,AA8&lt;&gt;"NE"),1,0)</f>
        <v>0</v>
      </c>
      <c r="O110" s="195">
        <f>IF(AND(S5&gt;1,AA8&lt;&gt;"DA"),1,0)</f>
        <v>0</v>
      </c>
    </row>
    <row r="111" spans="1:19" ht="64.5" customHeight="1">
      <c r="A111" s="219">
        <f t="shared" si="19"/>
        <v>97</v>
      </c>
      <c r="B111" s="221" t="str">
        <f t="shared" si="18"/>
        <v>OK</v>
      </c>
      <c r="C111" s="491" t="s">
        <v>2013</v>
      </c>
      <c r="D111" s="491"/>
      <c r="E111" s="491"/>
      <c r="F111" s="491"/>
      <c r="G111" s="491"/>
      <c r="H111" s="491"/>
      <c r="I111" s="491"/>
      <c r="J111" s="491"/>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1" t="s">
        <v>2014</v>
      </c>
      <c r="D112" s="491"/>
      <c r="E112" s="491"/>
      <c r="F112" s="491"/>
      <c r="G112" s="491"/>
      <c r="H112" s="491"/>
      <c r="I112" s="491"/>
      <c r="J112" s="491"/>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1" t="s">
        <v>2015</v>
      </c>
      <c r="D113" s="491"/>
      <c r="E113" s="491"/>
      <c r="F113" s="491"/>
      <c r="G113" s="491"/>
      <c r="H113" s="491"/>
      <c r="I113" s="491"/>
      <c r="J113" s="491"/>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1" t="s">
        <v>2907</v>
      </c>
      <c r="D114" s="491"/>
      <c r="E114" s="491"/>
      <c r="F114" s="491"/>
      <c r="G114" s="491"/>
      <c r="H114" s="491"/>
      <c r="I114" s="491"/>
      <c r="J114" s="491"/>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1" t="s">
        <v>2243</v>
      </c>
      <c r="D115" s="491"/>
      <c r="E115" s="491"/>
      <c r="F115" s="491"/>
      <c r="G115" s="491"/>
      <c r="H115" s="491"/>
      <c r="I115" s="491"/>
      <c r="J115" s="491"/>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1" t="s">
        <v>534</v>
      </c>
      <c r="D116" s="491"/>
      <c r="E116" s="491"/>
      <c r="F116" s="491"/>
      <c r="G116" s="491"/>
      <c r="H116" s="491"/>
      <c r="I116" s="491"/>
      <c r="J116" s="491"/>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1" t="s">
        <v>1451</v>
      </c>
      <c r="D117" s="491"/>
      <c r="E117" s="491"/>
      <c r="F117" s="491"/>
      <c r="G117" s="491"/>
      <c r="H117" s="491"/>
      <c r="I117" s="491"/>
      <c r="J117" s="491"/>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1" t="s">
        <v>0</v>
      </c>
      <c r="D118" s="491"/>
      <c r="E118" s="491"/>
      <c r="F118" s="491"/>
      <c r="G118" s="491"/>
      <c r="H118" s="491"/>
      <c r="I118" s="491"/>
      <c r="J118" s="491"/>
      <c r="L118" s="200">
        <f>MAX(N118:N118)</f>
        <v>0</v>
      </c>
      <c r="M118" s="200"/>
      <c r="N118" s="200">
        <f>IF(ISERROR(P118),0,1)</f>
        <v>0</v>
      </c>
      <c r="O118" s="195" t="str">
        <f ca="1">CELL("filename")</f>
        <v>C:\Users\Marko\Documents\FINA I GFI\2017\[GFI_POD-2017-JAVNA OBJAVA.xls]PK</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1" t="s">
        <v>1128</v>
      </c>
      <c r="D119" s="491"/>
      <c r="E119" s="491"/>
      <c r="F119" s="491"/>
      <c r="G119" s="491"/>
      <c r="H119" s="491"/>
      <c r="I119" s="491"/>
      <c r="J119" s="491"/>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1" t="s">
        <v>1452</v>
      </c>
      <c r="D120" s="491"/>
      <c r="E120" s="491"/>
      <c r="F120" s="491"/>
      <c r="G120" s="491"/>
      <c r="H120" s="491"/>
      <c r="I120" s="491"/>
      <c r="J120" s="491"/>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2:J12"/>
    <mergeCell ref="C46:J46"/>
    <mergeCell ref="C63:J63"/>
    <mergeCell ref="C44:J44"/>
    <mergeCell ref="C58:J58"/>
    <mergeCell ref="A11:J11"/>
    <mergeCell ref="A9:B10"/>
    <mergeCell ref="C40:J40"/>
    <mergeCell ref="C52:J52"/>
    <mergeCell ref="C53:J53"/>
    <mergeCell ref="C43:J43"/>
    <mergeCell ref="A42:J42"/>
    <mergeCell ref="A3:H8"/>
    <mergeCell ref="I8:J8"/>
    <mergeCell ref="I3:J3"/>
    <mergeCell ref="I5:J5"/>
    <mergeCell ref="I6:J6"/>
    <mergeCell ref="C9:J10"/>
    <mergeCell ref="C109:J109"/>
    <mergeCell ref="C56:J56"/>
    <mergeCell ref="C98:J98"/>
    <mergeCell ref="C91:J91"/>
    <mergeCell ref="C92:J92"/>
    <mergeCell ref="C93:J93"/>
    <mergeCell ref="C94:J94"/>
    <mergeCell ref="C102:J102"/>
    <mergeCell ref="C105:J105"/>
    <mergeCell ref="C59:J59"/>
    <mergeCell ref="C101:J101"/>
    <mergeCell ref="C100:J100"/>
    <mergeCell ref="C80:J80"/>
    <mergeCell ref="C78:J78"/>
    <mergeCell ref="C77:J77"/>
    <mergeCell ref="C66:J66"/>
    <mergeCell ref="C68:J68"/>
    <mergeCell ref="C70:J70"/>
    <mergeCell ref="C67:J67"/>
    <mergeCell ref="C69:J69"/>
    <mergeCell ref="A73:J73"/>
    <mergeCell ref="C47:J47"/>
    <mergeCell ref="C104:J104"/>
    <mergeCell ref="C103:J103"/>
    <mergeCell ref="C76:J76"/>
    <mergeCell ref="C90:J90"/>
    <mergeCell ref="C89:J89"/>
    <mergeCell ref="C75:J75"/>
    <mergeCell ref="C57:J57"/>
    <mergeCell ref="C74:J74"/>
    <mergeCell ref="C48:J48"/>
    <mergeCell ref="C54:J54"/>
    <mergeCell ref="C55:J55"/>
    <mergeCell ref="C60:J60"/>
    <mergeCell ref="C61:J61"/>
    <mergeCell ref="C62:J62"/>
    <mergeCell ref="C71:J71"/>
    <mergeCell ref="C97:J97"/>
    <mergeCell ref="C84:J84"/>
    <mergeCell ref="C45:J45"/>
    <mergeCell ref="C50:J50"/>
    <mergeCell ref="C79:J79"/>
    <mergeCell ref="C95:J95"/>
    <mergeCell ref="C96:J96"/>
    <mergeCell ref="C49:J49"/>
    <mergeCell ref="C51:J51"/>
    <mergeCell ref="C72:J72"/>
    <mergeCell ref="C88:J88"/>
    <mergeCell ref="C82:J82"/>
    <mergeCell ref="C86:J86"/>
    <mergeCell ref="C87:J87"/>
    <mergeCell ref="C83:J83"/>
    <mergeCell ref="C85:J85"/>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D3" sqref="D3:J3"/>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D50" sqref="D50:H5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9" t="s">
        <v>1057</v>
      </c>
      <c r="B2" s="370"/>
      <c r="C2" s="370"/>
      <c r="D2" s="370"/>
      <c r="E2" s="370"/>
      <c r="F2" s="370"/>
      <c r="G2" s="370"/>
      <c r="H2" s="370"/>
      <c r="I2" s="370"/>
      <c r="J2" s="370"/>
      <c r="K2" s="370"/>
      <c r="L2" s="370"/>
      <c r="M2" s="370"/>
      <c r="N2" s="371"/>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72" t="s">
        <v>1517</v>
      </c>
      <c r="B4" s="373"/>
      <c r="C4" s="364">
        <v>42736</v>
      </c>
      <c r="D4" s="365"/>
      <c r="E4" s="10" t="s">
        <v>1527</v>
      </c>
      <c r="F4" s="364">
        <v>43100</v>
      </c>
      <c r="G4" s="365"/>
      <c r="H4" s="374" t="s">
        <v>1730</v>
      </c>
      <c r="I4" s="303"/>
      <c r="J4" s="303"/>
      <c r="K4" s="303"/>
      <c r="L4" s="303"/>
      <c r="M4" s="303"/>
      <c r="N4" s="303"/>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72" t="s">
        <v>1526</v>
      </c>
      <c r="B7" s="373"/>
      <c r="C7" s="15">
        <v>1</v>
      </c>
      <c r="D7" s="375"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6" t="s">
        <v>2175</v>
      </c>
      <c r="B10" s="377"/>
      <c r="C10" s="161"/>
      <c r="D10" s="161"/>
      <c r="E10" s="157"/>
      <c r="F10" s="158"/>
      <c r="G10" s="159"/>
      <c r="H10" s="156"/>
      <c r="I10" s="156"/>
      <c r="J10" s="156"/>
      <c r="K10" s="366" t="s">
        <v>1971</v>
      </c>
      <c r="L10" s="367"/>
      <c r="M10" s="367"/>
      <c r="N10" s="368"/>
      <c r="P10" s="54" t="s">
        <v>1815</v>
      </c>
      <c r="Q10" s="55">
        <f>IF(F4&lt;&gt;"",YEAR(F4)/100+MONTH(F4)/2+DAY(F4),0)</f>
        <v>57.17</v>
      </c>
    </row>
    <row r="11" spans="1:17" ht="30" customHeight="1">
      <c r="A11" s="340" t="s">
        <v>2101</v>
      </c>
      <c r="B11" s="341"/>
      <c r="C11" s="341"/>
      <c r="D11" s="341"/>
      <c r="E11" s="341"/>
      <c r="F11" s="341"/>
      <c r="G11" s="341"/>
      <c r="H11" s="341"/>
      <c r="I11" s="341"/>
      <c r="J11" s="341"/>
      <c r="K11" s="341"/>
      <c r="L11" s="341"/>
      <c r="M11" s="341"/>
      <c r="N11" s="341"/>
      <c r="P11" s="54" t="s">
        <v>1816</v>
      </c>
      <c r="Q11" s="55">
        <f>INT(VALUE(C17))</f>
        <v>10</v>
      </c>
    </row>
    <row r="12" spans="4:17" ht="19.5" customHeight="1">
      <c r="D12" s="156"/>
      <c r="E12" s="162" t="s">
        <v>2728</v>
      </c>
      <c r="F12" s="352">
        <v>2017</v>
      </c>
      <c r="G12" s="353"/>
      <c r="H12" s="345" t="s">
        <v>2105</v>
      </c>
      <c r="I12" s="346"/>
      <c r="J12" s="346"/>
      <c r="K12" s="156"/>
      <c r="L12" s="156"/>
      <c r="M12" s="156"/>
      <c r="N12" s="156"/>
      <c r="P12" s="54" t="s">
        <v>2353</v>
      </c>
      <c r="Q12" s="55">
        <f>INT(VALUE(H27))/10</f>
        <v>311421</v>
      </c>
    </row>
    <row r="13" spans="4:17" ht="9.75" customHeight="1">
      <c r="D13" s="156"/>
      <c r="E13" s="162"/>
      <c r="H13" s="27"/>
      <c r="I13" s="163"/>
      <c r="J13" s="163"/>
      <c r="K13" s="156"/>
      <c r="L13" s="156"/>
      <c r="M13" s="156"/>
      <c r="N13" s="156"/>
      <c r="P13" s="54" t="s">
        <v>2353</v>
      </c>
      <c r="Q13" s="55">
        <f>INT(VALUE(M27))/50</f>
        <v>1201826.26</v>
      </c>
    </row>
    <row r="14" spans="1:17" ht="15">
      <c r="A14" s="344" t="s">
        <v>2714</v>
      </c>
      <c r="B14" s="344"/>
      <c r="C14" s="344"/>
      <c r="D14" s="164"/>
      <c r="E14" s="165"/>
      <c r="F14" s="342"/>
      <c r="G14" s="343"/>
      <c r="H14" s="343"/>
      <c r="I14" s="156"/>
      <c r="J14" s="350" t="s">
        <v>2100</v>
      </c>
      <c r="K14" s="351"/>
      <c r="L14" s="351"/>
      <c r="M14" s="351"/>
      <c r="N14" s="351"/>
      <c r="P14" s="54" t="s">
        <v>2718</v>
      </c>
      <c r="Q14" s="55">
        <f>INT(VALUE(C27))/100</f>
        <v>773178403.51</v>
      </c>
    </row>
    <row r="15" spans="1:17" ht="19.5" customHeight="1">
      <c r="A15" s="347">
        <f>Skriveni!B59</f>
        <v>3702623684.310002</v>
      </c>
      <c r="B15" s="348"/>
      <c r="C15" s="349"/>
      <c r="D15" s="60"/>
      <c r="E15" s="60"/>
      <c r="F15" s="60"/>
      <c r="G15" s="60"/>
      <c r="H15" s="60"/>
      <c r="I15" s="60"/>
      <c r="J15" s="60"/>
      <c r="K15" s="60"/>
      <c r="L15" s="60"/>
      <c r="M15" s="60"/>
      <c r="N15" s="60"/>
      <c r="P15" s="54" t="s">
        <v>1817</v>
      </c>
      <c r="Q15" s="55">
        <f>LEN(Skriveni!B9)</f>
        <v>14</v>
      </c>
    </row>
    <row r="16" spans="4:17" ht="12.75" customHeight="1">
      <c r="D16" s="60"/>
      <c r="E16" s="60"/>
      <c r="F16" s="60"/>
      <c r="G16" s="60"/>
      <c r="H16" s="60"/>
      <c r="I16" s="60"/>
      <c r="P16" s="54" t="s">
        <v>1818</v>
      </c>
      <c r="Q16" s="55">
        <f>INT(VALUE(C31))/100</f>
        <v>213.1</v>
      </c>
    </row>
    <row r="17" spans="1:17" ht="15" customHeight="1">
      <c r="A17" s="274" t="s">
        <v>1259</v>
      </c>
      <c r="B17" s="275"/>
      <c r="C17" s="35">
        <v>10</v>
      </c>
      <c r="D17" s="354"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5"/>
      <c r="F17" s="355"/>
      <c r="G17" s="355"/>
      <c r="H17" s="355"/>
      <c r="I17" s="355"/>
      <c r="J17" s="355"/>
      <c r="K17" s="355"/>
      <c r="L17" s="355"/>
      <c r="M17" s="355"/>
      <c r="N17" s="355"/>
      <c r="P17" s="54" t="s">
        <v>1819</v>
      </c>
      <c r="Q17" s="55">
        <f>LEN(Skriveni!B11)</f>
        <v>4</v>
      </c>
    </row>
    <row r="18" spans="1:17" ht="7.5" customHeight="1">
      <c r="A18" s="156"/>
      <c r="B18" s="156"/>
      <c r="C18" s="60"/>
      <c r="D18" s="355"/>
      <c r="E18" s="355"/>
      <c r="F18" s="355"/>
      <c r="G18" s="355"/>
      <c r="H18" s="355"/>
      <c r="I18" s="355"/>
      <c r="J18" s="355"/>
      <c r="K18" s="355"/>
      <c r="L18" s="355"/>
      <c r="M18" s="355"/>
      <c r="N18" s="355"/>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14</v>
      </c>
    </row>
    <row r="20" spans="1:17" ht="4.5" customHeight="1">
      <c r="A20" s="13"/>
      <c r="B20" s="47"/>
      <c r="C20" s="34"/>
      <c r="I20" s="34"/>
      <c r="M20" s="146"/>
      <c r="N20" s="166"/>
      <c r="Q20" s="55"/>
    </row>
    <row r="21" spans="1:17" ht="15" customHeight="1">
      <c r="A21" s="315" t="s">
        <v>2108</v>
      </c>
      <c r="B21" s="292"/>
      <c r="C21" s="36" t="s">
        <v>2619</v>
      </c>
      <c r="D21" s="193" t="s">
        <v>2111</v>
      </c>
      <c r="E21" s="274" t="s">
        <v>2109</v>
      </c>
      <c r="F21" s="303"/>
      <c r="G21" s="303"/>
      <c r="H21" s="332"/>
      <c r="I21" s="36" t="s">
        <v>2138</v>
      </c>
      <c r="J21" s="283" t="s">
        <v>2110</v>
      </c>
      <c r="K21" s="279"/>
      <c r="L21" s="284" t="s">
        <v>2966</v>
      </c>
      <c r="M21" s="285"/>
      <c r="N21" s="286"/>
      <c r="P21" s="54" t="s">
        <v>1821</v>
      </c>
      <c r="Q21" s="55">
        <f>INT(VALUE(C39))</f>
        <v>300</v>
      </c>
    </row>
    <row r="22" spans="1:17" ht="4.5" customHeight="1">
      <c r="A22" s="26"/>
      <c r="B22" s="26"/>
      <c r="C22" s="26"/>
      <c r="D22" s="26"/>
      <c r="E22" s="26"/>
      <c r="F22" s="26"/>
      <c r="G22" s="26"/>
      <c r="H22" s="26"/>
      <c r="I22" s="26"/>
      <c r="J22" s="26"/>
      <c r="K22" s="26"/>
      <c r="L22" s="26"/>
      <c r="M22" s="26"/>
      <c r="N22" s="26"/>
      <c r="Q22" s="55"/>
    </row>
    <row r="23" spans="1:17" ht="15" customHeight="1">
      <c r="A23" s="315" t="s">
        <v>1567</v>
      </c>
      <c r="B23" s="381"/>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81"/>
      <c r="B24" s="381"/>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1" t="s">
        <v>2102</v>
      </c>
      <c r="B27" s="383"/>
      <c r="C27" s="284" t="s">
        <v>2953</v>
      </c>
      <c r="D27" s="382"/>
      <c r="E27" s="286"/>
      <c r="F27" s="291" t="s">
        <v>2406</v>
      </c>
      <c r="G27" s="323"/>
      <c r="H27" s="289" t="s">
        <v>2954</v>
      </c>
      <c r="I27" s="290"/>
      <c r="J27" s="291" t="s">
        <v>2099</v>
      </c>
      <c r="K27" s="292"/>
      <c r="L27" s="293"/>
      <c r="M27" s="289" t="s">
        <v>2955</v>
      </c>
      <c r="N27" s="290"/>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7" t="s">
        <v>2956</v>
      </c>
      <c r="D29" s="328"/>
      <c r="E29" s="328"/>
      <c r="F29" s="328"/>
      <c r="G29" s="328"/>
      <c r="H29" s="328"/>
      <c r="I29" s="328"/>
      <c r="J29" s="328"/>
      <c r="K29" s="328"/>
      <c r="L29" s="329"/>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21310</v>
      </c>
      <c r="D31" s="333" t="s">
        <v>693</v>
      </c>
      <c r="E31" s="334"/>
      <c r="F31" s="324" t="s">
        <v>2957</v>
      </c>
      <c r="G31" s="335"/>
      <c r="H31" s="335"/>
      <c r="I31" s="335"/>
      <c r="J31" s="335"/>
      <c r="K31" s="335"/>
      <c r="L31" s="336"/>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4" t="s">
        <v>2958</v>
      </c>
      <c r="D33" s="325"/>
      <c r="E33" s="325"/>
      <c r="F33" s="325"/>
      <c r="G33" s="325"/>
      <c r="H33" s="325"/>
      <c r="I33" s="325"/>
      <c r="J33" s="325"/>
      <c r="K33" s="325"/>
      <c r="L33" s="32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7" t="s">
        <v>2959</v>
      </c>
      <c r="D35" s="338"/>
      <c r="E35" s="338"/>
      <c r="F35" s="338"/>
      <c r="G35" s="338"/>
      <c r="H35" s="338"/>
      <c r="I35" s="339"/>
      <c r="J35" s="275" t="s">
        <v>188</v>
      </c>
      <c r="K35" s="278"/>
      <c r="L35" s="284" t="s">
        <v>2961</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4" t="s">
        <v>2960</v>
      </c>
      <c r="D37" s="313"/>
      <c r="E37" s="313"/>
      <c r="F37" s="313"/>
      <c r="G37" s="313"/>
      <c r="H37" s="313"/>
      <c r="I37" s="314"/>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300</v>
      </c>
      <c r="D39" s="330" t="str">
        <f>IF(C39="","Šifra grada/općine nije upisana",IF(ISNA(LOOKUP(C39,A177:A732,A177:A732)),"Šifra grada/općine ne postoji",IF(LOOKUP(C39,A177:A732,A177:A732)&lt;&gt;C39,"Šifra grada/općine ne postoji",LOOKUP(C39,A177:A732,B177:B732))))</f>
        <v>Omiš</v>
      </c>
      <c r="E39" s="331"/>
      <c r="F39" s="331"/>
      <c r="G39" s="331"/>
      <c r="H39" s="315" t="s">
        <v>2222</v>
      </c>
      <c r="I39" s="293"/>
      <c r="J39" s="58">
        <f>IF(C39&gt;0,LOOKUP(C39,A177:A732,C177:C732),"")</f>
        <v>17</v>
      </c>
      <c r="K39" s="316" t="str">
        <f>IF(J39="","Treba prvo upisati šifru grada/općine",LOOKUP(J39,A153:A173,B153:B173))</f>
        <v>SPLITSKO-DALMATINSKA</v>
      </c>
      <c r="L39" s="316"/>
      <c r="M39" s="316"/>
      <c r="N39" s="316"/>
      <c r="P39" s="54" t="s">
        <v>1826</v>
      </c>
      <c r="Q39" s="55">
        <f>C56+2*F56+3*C58+4*F58</f>
        <v>625</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8" t="str">
        <f>IF(C42="","Šifra NKD-a nije upisana",IF(ISNA(LOOKUP(C42,A736:A1351,A736:A1351)),"Šifra NKD-a ne postoji",IF(LOOKUP(C42,A736:A1351,A736:A1351)&lt;&gt;C42,"Šifra NKD-a ne postoji",LOOKUP(C42,A736:A1351,B736:B1351))))</f>
        <v>Skupljanje, pročišćavanje i opskrba vo...</v>
      </c>
      <c r="E42" s="319"/>
      <c r="F42" s="319"/>
      <c r="G42" s="320"/>
      <c r="H42" s="319"/>
      <c r="I42" s="319"/>
      <c r="J42" s="319"/>
      <c r="K42" s="319"/>
      <c r="L42" s="319"/>
      <c r="M42" s="319"/>
      <c r="N42" s="319"/>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1"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2"/>
      <c r="F44" s="322"/>
      <c r="G44" s="322"/>
      <c r="H44" s="322"/>
      <c r="I44" s="322"/>
      <c r="J44" s="322"/>
      <c r="K44" s="322"/>
      <c r="L44" s="322"/>
      <c r="M44" s="322"/>
      <c r="N44" s="322"/>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315" t="s">
        <v>2131</v>
      </c>
      <c r="B46" s="291"/>
      <c r="C46" s="43"/>
      <c r="D46" s="300">
        <f>IF(C46="","",IF(ISNA(LOOKUP(C46,A1355:A1603,A1355:A1603)),"Šifra države nepostojeća",IF(LOOKUP(C46,A1355:A1603,A1355:A1603)&lt;&gt;C46,"Šifra države nepostojeća",LOOKUP(C46,A1355:A1603,B1355:B1603))))</f>
      </c>
      <c r="E46" s="301"/>
      <c r="F46" s="301"/>
      <c r="G46" s="301"/>
      <c r="H46" s="301"/>
      <c r="I46" s="301"/>
      <c r="J46" s="291" t="s">
        <v>2130</v>
      </c>
      <c r="K46" s="292"/>
      <c r="L46" s="292"/>
      <c r="M46" s="284"/>
      <c r="N46" s="299"/>
      <c r="P46" s="56" t="s">
        <v>1828</v>
      </c>
      <c r="Q46" s="57">
        <f>INT(VALUE(L21))/100</f>
        <v>10082327.6</v>
      </c>
    </row>
    <row r="47" spans="1:14" ht="9.75" customHeight="1">
      <c r="A47" s="292"/>
      <c r="B47" s="292"/>
      <c r="C47" s="60"/>
      <c r="D47" s="183"/>
      <c r="E47" s="184"/>
      <c r="F47" s="184"/>
      <c r="G47" s="184"/>
      <c r="H47" s="33"/>
      <c r="I47" s="185"/>
      <c r="J47" s="292"/>
      <c r="K47" s="292"/>
      <c r="L47" s="292"/>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7" t="str">
        <f>IF(C52="","Oznaka vlasništva nije upisana",IF(ISNA(LOOKUP(C52,A80:A87,A80:A87)),"Nepostojeća oznaka vlasništva",IF(LOOKUP(C52,A80:A87,A80:A87)&lt;&gt;C52,"Nepostojeća oznaka vlasništva",LOOKUP(C52,A80:A87,B80:B87))))</f>
        <v>Državno vlasništvo (javno, komunalno i slično)</v>
      </c>
      <c r="E52" s="303"/>
      <c r="F52" s="303"/>
      <c r="G52" s="303"/>
      <c r="H52" s="303"/>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5" t="s">
        <v>394</v>
      </c>
      <c r="B55" s="292"/>
      <c r="D55" s="61"/>
      <c r="F55" s="62"/>
      <c r="G55" s="62"/>
      <c r="H55" s="62"/>
      <c r="I55" s="62"/>
      <c r="J55" s="188"/>
      <c r="K55" s="188"/>
      <c r="L55" s="188"/>
      <c r="M55" s="188"/>
      <c r="N55" s="188"/>
      <c r="O55" s="186"/>
    </row>
    <row r="56" spans="1:17" ht="15" customHeight="1">
      <c r="A56" s="292"/>
      <c r="B56" s="292"/>
      <c r="C56" s="44">
        <v>64</v>
      </c>
      <c r="D56" s="272" t="s">
        <v>2898</v>
      </c>
      <c r="E56" s="273"/>
      <c r="F56" s="44">
        <v>62</v>
      </c>
      <c r="G56" s="272" t="s">
        <v>2899</v>
      </c>
      <c r="H56" s="380"/>
      <c r="I56" s="226" t="s">
        <v>2138</v>
      </c>
      <c r="J56" s="308" t="s">
        <v>1220</v>
      </c>
      <c r="K56" s="281"/>
      <c r="L56" s="281"/>
      <c r="M56" s="281"/>
      <c r="N56" s="281"/>
      <c r="O56" s="186"/>
      <c r="P56" s="54" t="s">
        <v>1972</v>
      </c>
      <c r="Q56" s="54">
        <f>C46/20</f>
        <v>0</v>
      </c>
    </row>
    <row r="57" spans="1:15" ht="4.5" customHeight="1">
      <c r="A57" s="292"/>
      <c r="B57" s="292"/>
      <c r="G57" s="63"/>
      <c r="H57" s="63"/>
      <c r="I57" s="62"/>
      <c r="J57" s="188"/>
      <c r="K57" s="188"/>
      <c r="L57" s="188"/>
      <c r="M57" s="188"/>
      <c r="N57" s="188"/>
      <c r="O57" s="186"/>
    </row>
    <row r="58" spans="1:17" ht="15" customHeight="1">
      <c r="A58" s="378" t="s">
        <v>2226</v>
      </c>
      <c r="B58" s="379"/>
      <c r="C58" s="44">
        <v>63</v>
      </c>
      <c r="D58" s="310" t="s">
        <v>2898</v>
      </c>
      <c r="E58" s="310"/>
      <c r="F58" s="44">
        <v>62</v>
      </c>
      <c r="G58" s="310" t="s">
        <v>2899</v>
      </c>
      <c r="H58" s="310"/>
      <c r="I58" s="5" t="str">
        <f>IF(OR(NT_I!Q1&lt;&gt;0,NT_D!Q1&lt;&gt;0),"DA","NE")</f>
        <v>DA</v>
      </c>
      <c r="J58" s="280" t="s">
        <v>1453</v>
      </c>
      <c r="K58" s="281"/>
      <c r="L58" s="281"/>
      <c r="M58" s="281"/>
      <c r="N58" s="281"/>
      <c r="O58" s="186"/>
      <c r="P58" s="54" t="s">
        <v>1973</v>
      </c>
      <c r="Q58" s="54">
        <f>IF(ISERROR(INT(M46)),LEN(M46),INT(M46)/100)</f>
        <v>0</v>
      </c>
    </row>
    <row r="59" spans="1:15" ht="4.5" customHeight="1">
      <c r="A59" s="378"/>
      <c r="B59" s="378"/>
      <c r="G59" s="64"/>
      <c r="H59" s="64"/>
      <c r="I59" s="189"/>
      <c r="J59" s="188"/>
      <c r="K59" s="188"/>
      <c r="L59" s="188"/>
      <c r="M59" s="188"/>
      <c r="N59" s="188"/>
      <c r="O59" s="186"/>
    </row>
    <row r="60" spans="1:17" ht="15" customHeight="1">
      <c r="A60" s="315" t="s">
        <v>164</v>
      </c>
      <c r="B60" s="291"/>
      <c r="C60" s="44">
        <v>12</v>
      </c>
      <c r="D60" s="310" t="s">
        <v>2898</v>
      </c>
      <c r="E60" s="310"/>
      <c r="F60" s="44">
        <v>12</v>
      </c>
      <c r="G60" s="310" t="s">
        <v>2899</v>
      </c>
      <c r="H60" s="310"/>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8"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1" t="s">
        <v>2116</v>
      </c>
      <c r="D64" s="303"/>
      <c r="E64" s="303"/>
      <c r="F64" s="303"/>
      <c r="G64" s="156"/>
      <c r="H64" s="156"/>
      <c r="I64" s="226" t="s">
        <v>2138</v>
      </c>
      <c r="J64" s="308"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2"/>
      <c r="C66" s="313"/>
      <c r="D66" s="313"/>
      <c r="E66" s="313"/>
      <c r="F66" s="313"/>
      <c r="G66" s="314"/>
      <c r="H66" s="191"/>
      <c r="I66" s="226" t="s">
        <v>2138</v>
      </c>
      <c r="J66" s="281" t="s">
        <v>166</v>
      </c>
      <c r="K66" s="281"/>
      <c r="L66" s="281"/>
      <c r="M66" s="281"/>
      <c r="N66" s="281"/>
      <c r="O66" s="186"/>
    </row>
    <row r="67" spans="3:15" ht="10.5" customHeight="1">
      <c r="C67" s="307"/>
      <c r="D67" s="305"/>
      <c r="E67" s="305"/>
      <c r="F67" s="305"/>
      <c r="G67" s="305"/>
      <c r="H67" s="306"/>
      <c r="I67" s="60"/>
      <c r="J67" s="309"/>
      <c r="K67" s="309"/>
      <c r="L67" s="309"/>
      <c r="M67" s="309"/>
      <c r="N67" s="309"/>
      <c r="O67" s="186"/>
    </row>
    <row r="68" spans="1:15" ht="15" customHeight="1">
      <c r="A68" s="315" t="s">
        <v>165</v>
      </c>
      <c r="B68" s="358"/>
      <c r="C68" s="324" t="s">
        <v>2962</v>
      </c>
      <c r="D68" s="297"/>
      <c r="E68" s="297"/>
      <c r="F68" s="297"/>
      <c r="G68" s="298"/>
      <c r="H68" s="191"/>
      <c r="I68" s="226" t="s">
        <v>2138</v>
      </c>
      <c r="J68" s="281" t="s">
        <v>2575</v>
      </c>
      <c r="K68" s="281"/>
      <c r="L68" s="281"/>
      <c r="M68" s="281"/>
      <c r="N68" s="281"/>
      <c r="O68" s="34"/>
    </row>
    <row r="69" spans="3:15" ht="9.75" customHeight="1">
      <c r="C69" s="304" t="s">
        <v>696</v>
      </c>
      <c r="D69" s="305"/>
      <c r="E69" s="305"/>
      <c r="F69" s="305"/>
      <c r="G69" s="305"/>
      <c r="H69" s="306"/>
      <c r="I69" s="60"/>
      <c r="J69" s="309"/>
      <c r="K69" s="309"/>
      <c r="L69" s="309"/>
      <c r="M69" s="309"/>
      <c r="N69" s="309"/>
      <c r="O69" s="34"/>
    </row>
    <row r="70" spans="1:15" ht="15" customHeight="1">
      <c r="A70" s="315" t="s">
        <v>2115</v>
      </c>
      <c r="B70" s="358"/>
      <c r="C70" s="359" t="s">
        <v>2965</v>
      </c>
      <c r="D70" s="360"/>
      <c r="E70" s="361"/>
      <c r="F70" s="60"/>
      <c r="G70" s="156"/>
      <c r="H70" s="156"/>
      <c r="I70" s="156"/>
      <c r="J70" s="156"/>
      <c r="K70" s="156"/>
      <c r="L70" s="156"/>
      <c r="M70" s="156"/>
      <c r="N70" s="60"/>
      <c r="O70" s="34"/>
    </row>
    <row r="71" spans="1:14" ht="9.75" customHeight="1">
      <c r="A71" s="156"/>
      <c r="B71" s="156"/>
      <c r="C71" s="302" t="s">
        <v>1308</v>
      </c>
      <c r="D71" s="303"/>
      <c r="E71" s="303"/>
      <c r="F71" s="303"/>
      <c r="G71" s="303"/>
      <c r="H71" s="303"/>
      <c r="I71" s="156"/>
      <c r="J71" s="156"/>
      <c r="K71" s="156"/>
      <c r="L71" s="156"/>
      <c r="M71" s="156"/>
      <c r="N71" s="60"/>
    </row>
    <row r="72" spans="1:14" ht="15" customHeight="1">
      <c r="A72" s="315" t="s">
        <v>1262</v>
      </c>
      <c r="B72" s="358"/>
      <c r="C72" s="296" t="s">
        <v>2963</v>
      </c>
      <c r="D72" s="297"/>
      <c r="E72" s="297"/>
      <c r="F72" s="297"/>
      <c r="G72" s="297"/>
      <c r="H72" s="298"/>
      <c r="I72" s="156"/>
      <c r="J72" s="156"/>
      <c r="K72" s="156"/>
      <c r="N72" s="14" t="str">
        <f>"Verzija Excel datoteke: "&amp;MID(Skriveni!B4,1,1)&amp;"."&amp;MID(Skriveni!B4,2,1)&amp;"."&amp;MID(Skriveni!B4,3,1)&amp;"."</f>
        <v>Verzija Excel datoteke: 3.0.4.</v>
      </c>
    </row>
    <row r="73" spans="1:14" ht="9.75" customHeight="1">
      <c r="A73" s="26"/>
      <c r="B73" s="26"/>
      <c r="C73" s="304" t="s">
        <v>1566</v>
      </c>
      <c r="D73" s="304"/>
      <c r="E73" s="304"/>
      <c r="F73" s="304"/>
      <c r="G73" s="304"/>
      <c r="H73" s="304"/>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9" t="s">
        <v>2964</v>
      </c>
      <c r="B75" s="297"/>
      <c r="C75" s="297"/>
      <c r="D75" s="297"/>
      <c r="E75" s="298"/>
      <c r="I75" s="156"/>
      <c r="J75" s="156"/>
      <c r="K75" s="156"/>
      <c r="L75" s="156"/>
      <c r="M75" s="156"/>
      <c r="N75" s="156"/>
    </row>
    <row r="76" spans="1:14" ht="9.75" customHeight="1">
      <c r="A76" s="362" t="s">
        <v>725</v>
      </c>
      <c r="B76" s="363"/>
      <c r="C76" s="363"/>
      <c r="D76" s="363"/>
      <c r="E76" s="363"/>
      <c r="I76" s="156"/>
      <c r="J76" s="356" t="s">
        <v>726</v>
      </c>
      <c r="K76" s="357"/>
      <c r="L76" s="357"/>
      <c r="M76" s="357"/>
      <c r="N76" s="357"/>
    </row>
    <row r="77" spans="2:14" ht="15" customHeight="1">
      <c r="B77" s="156"/>
      <c r="C77" s="156"/>
      <c r="D77" s="156"/>
      <c r="E77" s="156"/>
      <c r="F77" s="156"/>
      <c r="G77" s="156"/>
      <c r="H77" s="192"/>
      <c r="M77" s="156"/>
      <c r="N77" s="60"/>
    </row>
    <row r="78" spans="1:14" ht="12" customHeight="1">
      <c r="A78" s="294">
        <f>IF(ISERROR(Kont!J4),"Postoje neke pogreške u Excel datoteci, takva neće moći biti učitana!!!",IF(Kont!J4&gt;0,"Obrazac još uvijek sadrži neke pogreške! Ako ste završili s popunjavanjem, provjerite radni list Kont. Broj pogreški: "&amp;Kont!J4,""))</f>
      </c>
      <c r="B78" s="295"/>
      <c r="C78" s="295"/>
      <c r="D78" s="295"/>
      <c r="E78" s="295"/>
      <c r="F78" s="295"/>
      <c r="G78" s="295"/>
      <c r="H78" s="295"/>
      <c r="I78" s="295"/>
      <c r="J78" s="295"/>
      <c r="K78" s="295"/>
      <c r="L78" s="295"/>
      <c r="M78" s="295"/>
      <c r="N78" s="295"/>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35" activePane="bottomLeft" state="frozen"/>
      <selection pane="topLeft" activeCell="A1" sqref="A1"/>
      <selection pane="bottomLeft" activeCell="J60" sqref="J6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1" t="s">
        <v>138</v>
      </c>
      <c r="B2" s="392"/>
      <c r="C2" s="392"/>
      <c r="D2" s="392"/>
      <c r="E2" s="392"/>
      <c r="F2" s="392"/>
      <c r="G2" s="392"/>
      <c r="H2" s="392"/>
      <c r="I2" s="393"/>
      <c r="J2" s="389" t="s">
        <v>2590</v>
      </c>
      <c r="Q2" s="74">
        <f>IF(OR(MIN(I9:I133)&lt;0,MAX(I9:I133)&gt;0),1,0)</f>
        <v>1</v>
      </c>
      <c r="R2" s="73" t="s">
        <v>2586</v>
      </c>
    </row>
    <row r="3" spans="1:18" ht="19.5" customHeight="1" thickBot="1">
      <c r="A3" s="394" t="str">
        <f>"stanje na dan "&amp;IF(RefStr!F4&lt;&gt;"",TEXT(RefStr!F4,"DD.MM.YYYY."),"__.__.____.")</f>
        <v>stanje na dan 31.12.2017.</v>
      </c>
      <c r="B3" s="395"/>
      <c r="C3" s="395"/>
      <c r="D3" s="395"/>
      <c r="E3" s="395"/>
      <c r="F3" s="395"/>
      <c r="G3" s="395"/>
      <c r="H3" s="395"/>
      <c r="I3" s="396"/>
      <c r="J3" s="390"/>
      <c r="Q3" s="74">
        <f>IF(OR(MIN(J9:J133)&lt;0,MAX(J9:J133)&gt;0),1,0)</f>
        <v>1</v>
      </c>
      <c r="R3" s="73" t="s">
        <v>2587</v>
      </c>
    </row>
    <row r="4" spans="1:10" ht="4.5" customHeight="1">
      <c r="A4" s="244"/>
      <c r="B4" s="76"/>
      <c r="C4" s="76"/>
      <c r="D4" s="76"/>
      <c r="E4" s="76"/>
      <c r="F4" s="76"/>
      <c r="G4" s="76"/>
      <c r="H4" s="76"/>
      <c r="I4" s="76"/>
      <c r="J4" s="75"/>
    </row>
    <row r="5" spans="1:18" ht="15" customHeight="1">
      <c r="A5" s="397" t="str">
        <f>"Obveznik: "&amp;IF(RefStr!C27&lt;&gt;"",RefStr!C27,"________")&amp;"; "&amp;IF(RefStr!C29&lt;&gt;"",RefStr!C29,"________________________________________________________"&amp;"; "&amp;IF(RefStr!F31&lt;&gt;"",RefStr!F31,"_______________"))</f>
        <v>Obveznik: 77317840351; VODOVOD d.o.o.</v>
      </c>
      <c r="B5" s="398"/>
      <c r="C5" s="398"/>
      <c r="D5" s="398"/>
      <c r="E5" s="398"/>
      <c r="F5" s="398"/>
      <c r="G5" s="398"/>
      <c r="H5" s="398"/>
      <c r="I5" s="398"/>
      <c r="J5" s="399"/>
      <c r="Q5" s="2">
        <f>IF(I96&lt;&gt;0,1,0)</f>
        <v>0</v>
      </c>
      <c r="R5" s="73" t="s">
        <v>2588</v>
      </c>
    </row>
    <row r="6" spans="1:18" ht="24.75" customHeight="1" thickBot="1">
      <c r="A6" s="400" t="s">
        <v>719</v>
      </c>
      <c r="B6" s="401"/>
      <c r="C6" s="401"/>
      <c r="D6" s="401"/>
      <c r="E6" s="401"/>
      <c r="F6" s="401"/>
      <c r="G6" s="102" t="s">
        <v>799</v>
      </c>
      <c r="H6" s="102" t="s">
        <v>1968</v>
      </c>
      <c r="I6" s="102" t="s">
        <v>2292</v>
      </c>
      <c r="J6" s="103" t="s">
        <v>2293</v>
      </c>
      <c r="Q6" s="2">
        <f>IF(J96&lt;&gt;0,1,0)</f>
        <v>0</v>
      </c>
      <c r="R6" s="73" t="s">
        <v>2589</v>
      </c>
    </row>
    <row r="7" spans="1:10" ht="13.5" customHeight="1">
      <c r="A7" s="402">
        <v>1</v>
      </c>
      <c r="B7" s="403"/>
      <c r="C7" s="403"/>
      <c r="D7" s="403"/>
      <c r="E7" s="403"/>
      <c r="F7" s="403"/>
      <c r="G7" s="105">
        <v>2</v>
      </c>
      <c r="H7" s="105">
        <v>3</v>
      </c>
      <c r="I7" s="104">
        <v>4</v>
      </c>
      <c r="J7" s="106">
        <v>5</v>
      </c>
    </row>
    <row r="8" spans="1:10" ht="13.5" customHeight="1">
      <c r="A8" s="404" t="s">
        <v>721</v>
      </c>
      <c r="B8" s="405"/>
      <c r="C8" s="405"/>
      <c r="D8" s="405"/>
      <c r="E8" s="405"/>
      <c r="F8" s="405"/>
      <c r="G8" s="405"/>
      <c r="H8" s="405"/>
      <c r="I8" s="405"/>
      <c r="J8" s="405"/>
    </row>
    <row r="9" spans="1:15" ht="13.5" customHeight="1">
      <c r="A9" s="387" t="s">
        <v>722</v>
      </c>
      <c r="B9" s="387"/>
      <c r="C9" s="387"/>
      <c r="D9" s="387"/>
      <c r="E9" s="387"/>
      <c r="F9" s="387"/>
      <c r="G9" s="19">
        <v>1</v>
      </c>
      <c r="H9" s="20"/>
      <c r="I9" s="71"/>
      <c r="J9" s="71"/>
      <c r="O9" s="74"/>
    </row>
    <row r="10" spans="1:10" ht="13.5" customHeight="1">
      <c r="A10" s="387" t="s">
        <v>1849</v>
      </c>
      <c r="B10" s="387"/>
      <c r="C10" s="387"/>
      <c r="D10" s="387"/>
      <c r="E10" s="387"/>
      <c r="F10" s="387"/>
      <c r="G10" s="19">
        <v>2</v>
      </c>
      <c r="H10" s="20"/>
      <c r="I10" s="70">
        <f>I11+I18+I28+I39+I44</f>
        <v>166599783</v>
      </c>
      <c r="J10" s="70">
        <f>J11+J18+J28+J39+J44</f>
        <v>171805223</v>
      </c>
    </row>
    <row r="11" spans="1:10" ht="13.5" customHeight="1">
      <c r="A11" s="386" t="s">
        <v>1850</v>
      </c>
      <c r="B11" s="386"/>
      <c r="C11" s="386"/>
      <c r="D11" s="386"/>
      <c r="E11" s="386"/>
      <c r="F11" s="386"/>
      <c r="G11" s="19">
        <v>3</v>
      </c>
      <c r="H11" s="20"/>
      <c r="I11" s="70">
        <f>SUM(I12:I17)</f>
        <v>100473</v>
      </c>
      <c r="J11" s="70">
        <f>SUM(J12:J17)</f>
        <v>2060520</v>
      </c>
    </row>
    <row r="12" spans="1:10" ht="13.5" customHeight="1">
      <c r="A12" s="385" t="s">
        <v>965</v>
      </c>
      <c r="B12" s="385"/>
      <c r="C12" s="385"/>
      <c r="D12" s="385"/>
      <c r="E12" s="385"/>
      <c r="F12" s="385"/>
      <c r="G12" s="19">
        <v>4</v>
      </c>
      <c r="H12" s="20"/>
      <c r="I12" s="71">
        <v>0</v>
      </c>
      <c r="J12" s="71">
        <v>2025860</v>
      </c>
    </row>
    <row r="13" spans="1:10" ht="24.75" customHeight="1">
      <c r="A13" s="385" t="s">
        <v>1810</v>
      </c>
      <c r="B13" s="385"/>
      <c r="C13" s="385"/>
      <c r="D13" s="385"/>
      <c r="E13" s="385"/>
      <c r="F13" s="385"/>
      <c r="G13" s="19">
        <v>5</v>
      </c>
      <c r="H13" s="20"/>
      <c r="I13" s="71">
        <v>100473</v>
      </c>
      <c r="J13" s="71">
        <v>34660</v>
      </c>
    </row>
    <row r="14" spans="1:10" ht="13.5" customHeight="1">
      <c r="A14" s="385" t="s">
        <v>966</v>
      </c>
      <c r="B14" s="385"/>
      <c r="C14" s="385"/>
      <c r="D14" s="385"/>
      <c r="E14" s="385"/>
      <c r="F14" s="385"/>
      <c r="G14" s="19">
        <v>6</v>
      </c>
      <c r="H14" s="20"/>
      <c r="I14" s="71"/>
      <c r="J14" s="71"/>
    </row>
    <row r="15" spans="1:10" ht="13.5" customHeight="1">
      <c r="A15" s="385" t="s">
        <v>967</v>
      </c>
      <c r="B15" s="385"/>
      <c r="C15" s="385"/>
      <c r="D15" s="385"/>
      <c r="E15" s="385"/>
      <c r="F15" s="385"/>
      <c r="G15" s="19">
        <v>7</v>
      </c>
      <c r="H15" s="20"/>
      <c r="I15" s="71"/>
      <c r="J15" s="71"/>
    </row>
    <row r="16" spans="1:10" ht="13.5" customHeight="1">
      <c r="A16" s="385" t="s">
        <v>968</v>
      </c>
      <c r="B16" s="385"/>
      <c r="C16" s="385"/>
      <c r="D16" s="385"/>
      <c r="E16" s="385"/>
      <c r="F16" s="385"/>
      <c r="G16" s="19">
        <v>8</v>
      </c>
      <c r="H16" s="20"/>
      <c r="I16" s="71"/>
      <c r="J16" s="71"/>
    </row>
    <row r="17" spans="1:10" ht="13.5" customHeight="1">
      <c r="A17" s="385" t="s">
        <v>969</v>
      </c>
      <c r="B17" s="385"/>
      <c r="C17" s="385"/>
      <c r="D17" s="385"/>
      <c r="E17" s="385"/>
      <c r="F17" s="385"/>
      <c r="G17" s="19">
        <v>9</v>
      </c>
      <c r="H17" s="20"/>
      <c r="I17" s="71"/>
      <c r="J17" s="71"/>
    </row>
    <row r="18" spans="1:10" ht="13.5" customHeight="1">
      <c r="A18" s="386" t="s">
        <v>731</v>
      </c>
      <c r="B18" s="386"/>
      <c r="C18" s="386"/>
      <c r="D18" s="386"/>
      <c r="E18" s="386"/>
      <c r="F18" s="386"/>
      <c r="G18" s="19">
        <v>10</v>
      </c>
      <c r="H18" s="20"/>
      <c r="I18" s="70">
        <f>SUM(I19:I27)</f>
        <v>166419540</v>
      </c>
      <c r="J18" s="70">
        <f>SUM(J19:J27)</f>
        <v>169670633</v>
      </c>
    </row>
    <row r="19" spans="1:10" ht="13.5" customHeight="1">
      <c r="A19" s="385" t="s">
        <v>2176</v>
      </c>
      <c r="B19" s="385"/>
      <c r="C19" s="385"/>
      <c r="D19" s="385"/>
      <c r="E19" s="385"/>
      <c r="F19" s="385"/>
      <c r="G19" s="19">
        <v>11</v>
      </c>
      <c r="H19" s="20"/>
      <c r="I19" s="71">
        <v>797945</v>
      </c>
      <c r="J19" s="71">
        <v>797945</v>
      </c>
    </row>
    <row r="20" spans="1:10" ht="13.5" customHeight="1">
      <c r="A20" s="385" t="s">
        <v>543</v>
      </c>
      <c r="B20" s="385"/>
      <c r="C20" s="385"/>
      <c r="D20" s="385"/>
      <c r="E20" s="385"/>
      <c r="F20" s="385"/>
      <c r="G20" s="19">
        <v>12</v>
      </c>
      <c r="H20" s="20"/>
      <c r="I20" s="71">
        <v>138122577</v>
      </c>
      <c r="J20" s="71">
        <v>148855226</v>
      </c>
    </row>
    <row r="21" spans="1:10" ht="13.5" customHeight="1">
      <c r="A21" s="385" t="s">
        <v>2177</v>
      </c>
      <c r="B21" s="385"/>
      <c r="C21" s="385"/>
      <c r="D21" s="385"/>
      <c r="E21" s="385"/>
      <c r="F21" s="385"/>
      <c r="G21" s="19">
        <v>13</v>
      </c>
      <c r="H21" s="20"/>
      <c r="I21" s="71">
        <v>9047986</v>
      </c>
      <c r="J21" s="71">
        <v>8178304</v>
      </c>
    </row>
    <row r="22" spans="1:10" ht="13.5" customHeight="1">
      <c r="A22" s="385" t="s">
        <v>2290</v>
      </c>
      <c r="B22" s="385"/>
      <c r="C22" s="385"/>
      <c r="D22" s="385"/>
      <c r="E22" s="385"/>
      <c r="F22" s="385"/>
      <c r="G22" s="19">
        <v>14</v>
      </c>
      <c r="H22" s="20"/>
      <c r="I22" s="71">
        <v>418075</v>
      </c>
      <c r="J22" s="71">
        <v>382405</v>
      </c>
    </row>
    <row r="23" spans="1:10" ht="13.5" customHeight="1">
      <c r="A23" s="385" t="s">
        <v>2291</v>
      </c>
      <c r="B23" s="385"/>
      <c r="C23" s="385"/>
      <c r="D23" s="385"/>
      <c r="E23" s="385"/>
      <c r="F23" s="385"/>
      <c r="G23" s="19">
        <v>15</v>
      </c>
      <c r="H23" s="20"/>
      <c r="I23" s="71"/>
      <c r="J23" s="71"/>
    </row>
    <row r="24" spans="1:10" ht="13.5" customHeight="1">
      <c r="A24" s="385" t="s">
        <v>1082</v>
      </c>
      <c r="B24" s="385"/>
      <c r="C24" s="385"/>
      <c r="D24" s="385"/>
      <c r="E24" s="385"/>
      <c r="F24" s="385"/>
      <c r="G24" s="19">
        <v>16</v>
      </c>
      <c r="H24" s="20"/>
      <c r="I24" s="71">
        <v>7763</v>
      </c>
      <c r="J24" s="71">
        <v>0</v>
      </c>
    </row>
    <row r="25" spans="1:10" ht="13.5" customHeight="1">
      <c r="A25" s="385" t="s">
        <v>1083</v>
      </c>
      <c r="B25" s="385"/>
      <c r="C25" s="385"/>
      <c r="D25" s="385"/>
      <c r="E25" s="385"/>
      <c r="F25" s="385"/>
      <c r="G25" s="19">
        <v>17</v>
      </c>
      <c r="H25" s="20"/>
      <c r="I25" s="71">
        <v>18025194</v>
      </c>
      <c r="J25" s="71">
        <v>11456753</v>
      </c>
    </row>
    <row r="26" spans="1:10" ht="13.5" customHeight="1">
      <c r="A26" s="385" t="s">
        <v>1084</v>
      </c>
      <c r="B26" s="385"/>
      <c r="C26" s="385"/>
      <c r="D26" s="385"/>
      <c r="E26" s="385"/>
      <c r="F26" s="385"/>
      <c r="G26" s="19">
        <v>18</v>
      </c>
      <c r="H26" s="20"/>
      <c r="I26" s="71"/>
      <c r="J26" s="71"/>
    </row>
    <row r="27" spans="1:10" ht="13.5" customHeight="1">
      <c r="A27" s="385" t="s">
        <v>1085</v>
      </c>
      <c r="B27" s="385"/>
      <c r="C27" s="385"/>
      <c r="D27" s="385"/>
      <c r="E27" s="385"/>
      <c r="F27" s="385"/>
      <c r="G27" s="19">
        <v>19</v>
      </c>
      <c r="H27" s="20"/>
      <c r="I27" s="71"/>
      <c r="J27" s="71"/>
    </row>
    <row r="28" spans="1:10" ht="13.5" customHeight="1">
      <c r="A28" s="386" t="s">
        <v>2644</v>
      </c>
      <c r="B28" s="386"/>
      <c r="C28" s="386"/>
      <c r="D28" s="386"/>
      <c r="E28" s="386"/>
      <c r="F28" s="386"/>
      <c r="G28" s="19">
        <v>20</v>
      </c>
      <c r="H28" s="20"/>
      <c r="I28" s="70">
        <f>SUM(I29:I38)</f>
        <v>0</v>
      </c>
      <c r="J28" s="70">
        <f>SUM(J29:J38)</f>
        <v>0</v>
      </c>
    </row>
    <row r="29" spans="1:10" ht="13.5" customHeight="1">
      <c r="A29" s="385" t="s">
        <v>399</v>
      </c>
      <c r="B29" s="385"/>
      <c r="C29" s="385"/>
      <c r="D29" s="385"/>
      <c r="E29" s="385"/>
      <c r="F29" s="385"/>
      <c r="G29" s="19">
        <v>21</v>
      </c>
      <c r="H29" s="20"/>
      <c r="I29" s="71"/>
      <c r="J29" s="71"/>
    </row>
    <row r="30" spans="1:10" ht="13.5" customHeight="1">
      <c r="A30" s="385" t="s">
        <v>400</v>
      </c>
      <c r="B30" s="385"/>
      <c r="C30" s="385"/>
      <c r="D30" s="385"/>
      <c r="E30" s="385"/>
      <c r="F30" s="385"/>
      <c r="G30" s="19">
        <v>22</v>
      </c>
      <c r="H30" s="20"/>
      <c r="I30" s="71"/>
      <c r="J30" s="71"/>
    </row>
    <row r="31" spans="1:10" ht="13.5" customHeight="1">
      <c r="A31" s="385" t="s">
        <v>401</v>
      </c>
      <c r="B31" s="385"/>
      <c r="C31" s="385"/>
      <c r="D31" s="385"/>
      <c r="E31" s="385"/>
      <c r="F31" s="385"/>
      <c r="G31" s="19">
        <v>23</v>
      </c>
      <c r="H31" s="20"/>
      <c r="I31" s="71"/>
      <c r="J31" s="71"/>
    </row>
    <row r="32" spans="1:10" ht="24.75" customHeight="1">
      <c r="A32" s="385" t="s">
        <v>1811</v>
      </c>
      <c r="B32" s="385"/>
      <c r="C32" s="385"/>
      <c r="D32" s="385"/>
      <c r="E32" s="385"/>
      <c r="F32" s="385"/>
      <c r="G32" s="19">
        <v>24</v>
      </c>
      <c r="H32" s="20"/>
      <c r="I32" s="71"/>
      <c r="J32" s="71"/>
    </row>
    <row r="33" spans="1:10" ht="24.75" customHeight="1">
      <c r="A33" s="385" t="s">
        <v>1812</v>
      </c>
      <c r="B33" s="385"/>
      <c r="C33" s="385"/>
      <c r="D33" s="385"/>
      <c r="E33" s="385"/>
      <c r="F33" s="385"/>
      <c r="G33" s="19">
        <v>25</v>
      </c>
      <c r="H33" s="20"/>
      <c r="I33" s="71"/>
      <c r="J33" s="71"/>
    </row>
    <row r="34" spans="1:10" ht="24.75" customHeight="1">
      <c r="A34" s="385" t="s">
        <v>2120</v>
      </c>
      <c r="B34" s="385"/>
      <c r="C34" s="385"/>
      <c r="D34" s="385"/>
      <c r="E34" s="385"/>
      <c r="F34" s="385"/>
      <c r="G34" s="19">
        <v>26</v>
      </c>
      <c r="H34" s="20"/>
      <c r="I34" s="71"/>
      <c r="J34" s="71"/>
    </row>
    <row r="35" spans="1:10" ht="13.5" customHeight="1">
      <c r="A35" s="385" t="s">
        <v>402</v>
      </c>
      <c r="B35" s="385"/>
      <c r="C35" s="385"/>
      <c r="D35" s="385"/>
      <c r="E35" s="385"/>
      <c r="F35" s="385"/>
      <c r="G35" s="19">
        <v>27</v>
      </c>
      <c r="H35" s="20"/>
      <c r="I35" s="71"/>
      <c r="J35" s="71"/>
    </row>
    <row r="36" spans="1:10" ht="13.5" customHeight="1">
      <c r="A36" s="385" t="s">
        <v>403</v>
      </c>
      <c r="B36" s="385"/>
      <c r="C36" s="385"/>
      <c r="D36" s="385"/>
      <c r="E36" s="385"/>
      <c r="F36" s="385"/>
      <c r="G36" s="19">
        <v>28</v>
      </c>
      <c r="H36" s="20"/>
      <c r="I36" s="71"/>
      <c r="J36" s="71"/>
    </row>
    <row r="37" spans="1:10" ht="13.5" customHeight="1">
      <c r="A37" s="385" t="s">
        <v>1033</v>
      </c>
      <c r="B37" s="385"/>
      <c r="C37" s="385"/>
      <c r="D37" s="385"/>
      <c r="E37" s="385"/>
      <c r="F37" s="385"/>
      <c r="G37" s="19">
        <v>29</v>
      </c>
      <c r="H37" s="20"/>
      <c r="I37" s="71"/>
      <c r="J37" s="71"/>
    </row>
    <row r="38" spans="1:10" ht="13.5" customHeight="1">
      <c r="A38" s="385" t="s">
        <v>1034</v>
      </c>
      <c r="B38" s="385"/>
      <c r="C38" s="385"/>
      <c r="D38" s="385"/>
      <c r="E38" s="385"/>
      <c r="F38" s="385"/>
      <c r="G38" s="19">
        <v>30</v>
      </c>
      <c r="H38" s="20"/>
      <c r="I38" s="71"/>
      <c r="J38" s="71"/>
    </row>
    <row r="39" spans="1:10" ht="13.5" customHeight="1">
      <c r="A39" s="386" t="s">
        <v>2645</v>
      </c>
      <c r="B39" s="386"/>
      <c r="C39" s="386"/>
      <c r="D39" s="386"/>
      <c r="E39" s="386"/>
      <c r="F39" s="386"/>
      <c r="G39" s="19">
        <v>31</v>
      </c>
      <c r="H39" s="20"/>
      <c r="I39" s="70">
        <f>SUM(I40:I43)</f>
        <v>79770</v>
      </c>
      <c r="J39" s="70">
        <f>SUM(J40:J43)</f>
        <v>74070</v>
      </c>
    </row>
    <row r="40" spans="1:10" ht="13.5" customHeight="1">
      <c r="A40" s="385" t="s">
        <v>1035</v>
      </c>
      <c r="B40" s="385"/>
      <c r="C40" s="385"/>
      <c r="D40" s="385"/>
      <c r="E40" s="385"/>
      <c r="F40" s="385"/>
      <c r="G40" s="19">
        <v>32</v>
      </c>
      <c r="H40" s="20"/>
      <c r="I40" s="71"/>
      <c r="J40" s="71"/>
    </row>
    <row r="41" spans="1:10" ht="13.5" customHeight="1">
      <c r="A41" s="385" t="s">
        <v>1036</v>
      </c>
      <c r="B41" s="385"/>
      <c r="C41" s="385"/>
      <c r="D41" s="385"/>
      <c r="E41" s="385"/>
      <c r="F41" s="385"/>
      <c r="G41" s="19">
        <v>33</v>
      </c>
      <c r="H41" s="20"/>
      <c r="I41" s="71"/>
      <c r="J41" s="71"/>
    </row>
    <row r="42" spans="1:10" ht="13.5" customHeight="1">
      <c r="A42" s="385" t="s">
        <v>964</v>
      </c>
      <c r="B42" s="385"/>
      <c r="C42" s="385"/>
      <c r="D42" s="385"/>
      <c r="E42" s="385"/>
      <c r="F42" s="385"/>
      <c r="G42" s="19">
        <v>34</v>
      </c>
      <c r="H42" s="20"/>
      <c r="I42" s="71"/>
      <c r="J42" s="71"/>
    </row>
    <row r="43" spans="1:10" ht="13.5" customHeight="1">
      <c r="A43" s="385" t="s">
        <v>1037</v>
      </c>
      <c r="B43" s="385"/>
      <c r="C43" s="385"/>
      <c r="D43" s="385"/>
      <c r="E43" s="385"/>
      <c r="F43" s="385"/>
      <c r="G43" s="19">
        <v>35</v>
      </c>
      <c r="H43" s="20"/>
      <c r="I43" s="71">
        <v>79770</v>
      </c>
      <c r="J43" s="71">
        <v>74070</v>
      </c>
    </row>
    <row r="44" spans="1:10" ht="13.5" customHeight="1">
      <c r="A44" s="386" t="s">
        <v>655</v>
      </c>
      <c r="B44" s="386"/>
      <c r="C44" s="386"/>
      <c r="D44" s="386"/>
      <c r="E44" s="386"/>
      <c r="F44" s="386"/>
      <c r="G44" s="19">
        <v>36</v>
      </c>
      <c r="H44" s="20"/>
      <c r="I44" s="71"/>
      <c r="J44" s="71"/>
    </row>
    <row r="45" spans="1:10" ht="13.5" customHeight="1">
      <c r="A45" s="387" t="s">
        <v>2646</v>
      </c>
      <c r="B45" s="387"/>
      <c r="C45" s="387"/>
      <c r="D45" s="387"/>
      <c r="E45" s="387"/>
      <c r="F45" s="387"/>
      <c r="G45" s="19">
        <v>37</v>
      </c>
      <c r="H45" s="20"/>
      <c r="I45" s="70">
        <f>I46+I54+I61+I71</f>
        <v>27202221</v>
      </c>
      <c r="J45" s="70">
        <f>J46+J54+J61+J71</f>
        <v>23914309</v>
      </c>
    </row>
    <row r="46" spans="1:10" ht="13.5" customHeight="1">
      <c r="A46" s="386" t="s">
        <v>2647</v>
      </c>
      <c r="B46" s="386"/>
      <c r="C46" s="386"/>
      <c r="D46" s="386"/>
      <c r="E46" s="386"/>
      <c r="F46" s="386"/>
      <c r="G46" s="19">
        <v>38</v>
      </c>
      <c r="H46" s="20"/>
      <c r="I46" s="70">
        <f>SUM(I47:I53)</f>
        <v>1785399</v>
      </c>
      <c r="J46" s="70">
        <f>SUM(J47:J53)</f>
        <v>1811858</v>
      </c>
    </row>
    <row r="47" spans="1:10" ht="13.5" customHeight="1">
      <c r="A47" s="385" t="s">
        <v>970</v>
      </c>
      <c r="B47" s="385"/>
      <c r="C47" s="385"/>
      <c r="D47" s="385"/>
      <c r="E47" s="385"/>
      <c r="F47" s="385"/>
      <c r="G47" s="19">
        <v>39</v>
      </c>
      <c r="H47" s="20"/>
      <c r="I47" s="71">
        <v>1781136</v>
      </c>
      <c r="J47" s="71">
        <v>1810551</v>
      </c>
    </row>
    <row r="48" spans="1:10" ht="13.5" customHeight="1">
      <c r="A48" s="385" t="s">
        <v>971</v>
      </c>
      <c r="B48" s="385"/>
      <c r="C48" s="385"/>
      <c r="D48" s="385"/>
      <c r="E48" s="385"/>
      <c r="F48" s="385"/>
      <c r="G48" s="19">
        <v>40</v>
      </c>
      <c r="H48" s="20"/>
      <c r="I48" s="71"/>
      <c r="J48" s="71"/>
    </row>
    <row r="49" spans="1:10" ht="13.5" customHeight="1">
      <c r="A49" s="385" t="s">
        <v>972</v>
      </c>
      <c r="B49" s="385"/>
      <c r="C49" s="385"/>
      <c r="D49" s="385"/>
      <c r="E49" s="385"/>
      <c r="F49" s="385"/>
      <c r="G49" s="19">
        <v>41</v>
      </c>
      <c r="H49" s="20"/>
      <c r="I49" s="71"/>
      <c r="J49" s="71"/>
    </row>
    <row r="50" spans="1:10" ht="13.5" customHeight="1">
      <c r="A50" s="385" t="s">
        <v>973</v>
      </c>
      <c r="B50" s="385"/>
      <c r="C50" s="385"/>
      <c r="D50" s="385"/>
      <c r="E50" s="385"/>
      <c r="F50" s="385"/>
      <c r="G50" s="19">
        <v>42</v>
      </c>
      <c r="H50" s="20"/>
      <c r="I50" s="71"/>
      <c r="J50" s="71"/>
    </row>
    <row r="51" spans="1:10" ht="13.5" customHeight="1">
      <c r="A51" s="385" t="s">
        <v>974</v>
      </c>
      <c r="B51" s="385"/>
      <c r="C51" s="385"/>
      <c r="D51" s="385"/>
      <c r="E51" s="385"/>
      <c r="F51" s="385"/>
      <c r="G51" s="19">
        <v>43</v>
      </c>
      <c r="H51" s="20"/>
      <c r="I51" s="71">
        <v>4263</v>
      </c>
      <c r="J51" s="71">
        <v>1307</v>
      </c>
    </row>
    <row r="52" spans="1:10" ht="13.5" customHeight="1">
      <c r="A52" s="385" t="s">
        <v>975</v>
      </c>
      <c r="B52" s="385"/>
      <c r="C52" s="385"/>
      <c r="D52" s="385"/>
      <c r="E52" s="385"/>
      <c r="F52" s="385"/>
      <c r="G52" s="19">
        <v>44</v>
      </c>
      <c r="H52" s="20"/>
      <c r="I52" s="71"/>
      <c r="J52" s="71"/>
    </row>
    <row r="53" spans="1:10" ht="13.5" customHeight="1">
      <c r="A53" s="385" t="s">
        <v>347</v>
      </c>
      <c r="B53" s="385"/>
      <c r="C53" s="385"/>
      <c r="D53" s="385"/>
      <c r="E53" s="385"/>
      <c r="F53" s="385"/>
      <c r="G53" s="19">
        <v>45</v>
      </c>
      <c r="H53" s="20"/>
      <c r="I53" s="71"/>
      <c r="J53" s="71"/>
    </row>
    <row r="54" spans="1:10" ht="13.5" customHeight="1">
      <c r="A54" s="386" t="s">
        <v>2648</v>
      </c>
      <c r="B54" s="386"/>
      <c r="C54" s="386"/>
      <c r="D54" s="386"/>
      <c r="E54" s="386"/>
      <c r="F54" s="386"/>
      <c r="G54" s="19">
        <v>46</v>
      </c>
      <c r="H54" s="20"/>
      <c r="I54" s="70">
        <f>SUM(I55:I60)</f>
        <v>7203632</v>
      </c>
      <c r="J54" s="70">
        <f>SUM(J55:J60)</f>
        <v>7905026</v>
      </c>
    </row>
    <row r="55" spans="1:10" ht="13.5" customHeight="1">
      <c r="A55" s="385" t="s">
        <v>348</v>
      </c>
      <c r="B55" s="385"/>
      <c r="C55" s="385"/>
      <c r="D55" s="385"/>
      <c r="E55" s="385"/>
      <c r="F55" s="385"/>
      <c r="G55" s="19">
        <v>47</v>
      </c>
      <c r="H55" s="20"/>
      <c r="I55" s="71"/>
      <c r="J55" s="71"/>
    </row>
    <row r="56" spans="1:10" ht="13.5" customHeight="1">
      <c r="A56" s="385" t="s">
        <v>349</v>
      </c>
      <c r="B56" s="385"/>
      <c r="C56" s="385"/>
      <c r="D56" s="385"/>
      <c r="E56" s="385"/>
      <c r="F56" s="385"/>
      <c r="G56" s="19">
        <v>48</v>
      </c>
      <c r="H56" s="20"/>
      <c r="I56" s="71"/>
      <c r="J56" s="71"/>
    </row>
    <row r="57" spans="1:10" ht="13.5" customHeight="1">
      <c r="A57" s="385" t="s">
        <v>2636</v>
      </c>
      <c r="B57" s="385"/>
      <c r="C57" s="385"/>
      <c r="D57" s="385"/>
      <c r="E57" s="385"/>
      <c r="F57" s="385"/>
      <c r="G57" s="19">
        <v>49</v>
      </c>
      <c r="H57" s="20"/>
      <c r="I57" s="71">
        <v>5417289</v>
      </c>
      <c r="J57" s="71">
        <v>5671109</v>
      </c>
    </row>
    <row r="58" spans="1:10" ht="13.5" customHeight="1">
      <c r="A58" s="385" t="s">
        <v>350</v>
      </c>
      <c r="B58" s="385"/>
      <c r="C58" s="385"/>
      <c r="D58" s="385"/>
      <c r="E58" s="385"/>
      <c r="F58" s="385"/>
      <c r="G58" s="19">
        <v>50</v>
      </c>
      <c r="H58" s="20"/>
      <c r="I58" s="71"/>
      <c r="J58" s="71"/>
    </row>
    <row r="59" spans="1:10" ht="13.5" customHeight="1">
      <c r="A59" s="385" t="s">
        <v>351</v>
      </c>
      <c r="B59" s="385"/>
      <c r="C59" s="385"/>
      <c r="D59" s="385"/>
      <c r="E59" s="385"/>
      <c r="F59" s="385"/>
      <c r="G59" s="19">
        <v>51</v>
      </c>
      <c r="H59" s="20"/>
      <c r="I59" s="71">
        <v>1519348</v>
      </c>
      <c r="J59" s="71">
        <v>1913846</v>
      </c>
    </row>
    <row r="60" spans="1:10" ht="13.5" customHeight="1">
      <c r="A60" s="385" t="s">
        <v>2638</v>
      </c>
      <c r="B60" s="385"/>
      <c r="C60" s="385"/>
      <c r="D60" s="385"/>
      <c r="E60" s="385"/>
      <c r="F60" s="385"/>
      <c r="G60" s="19">
        <v>52</v>
      </c>
      <c r="H60" s="20"/>
      <c r="I60" s="71">
        <v>266995</v>
      </c>
      <c r="J60" s="71">
        <v>320071</v>
      </c>
    </row>
    <row r="61" spans="1:10" ht="13.5" customHeight="1">
      <c r="A61" s="386" t="s">
        <v>2649</v>
      </c>
      <c r="B61" s="386"/>
      <c r="C61" s="386"/>
      <c r="D61" s="386"/>
      <c r="E61" s="386"/>
      <c r="F61" s="386"/>
      <c r="G61" s="19">
        <v>53</v>
      </c>
      <c r="H61" s="20"/>
      <c r="I61" s="70">
        <f>SUM(I62:I70)</f>
        <v>10000000</v>
      </c>
      <c r="J61" s="70">
        <f>SUM(J62:J70)</f>
        <v>10000000</v>
      </c>
    </row>
    <row r="62" spans="1:10" ht="13.5" customHeight="1">
      <c r="A62" s="385" t="s">
        <v>399</v>
      </c>
      <c r="B62" s="385"/>
      <c r="C62" s="385"/>
      <c r="D62" s="385"/>
      <c r="E62" s="385"/>
      <c r="F62" s="385"/>
      <c r="G62" s="19">
        <v>54</v>
      </c>
      <c r="H62" s="20"/>
      <c r="I62" s="71"/>
      <c r="J62" s="71"/>
    </row>
    <row r="63" spans="1:10" ht="13.5" customHeight="1">
      <c r="A63" s="385" t="s">
        <v>400</v>
      </c>
      <c r="B63" s="385"/>
      <c r="C63" s="385"/>
      <c r="D63" s="385"/>
      <c r="E63" s="385"/>
      <c r="F63" s="385"/>
      <c r="G63" s="19">
        <v>55</v>
      </c>
      <c r="H63" s="20"/>
      <c r="I63" s="71"/>
      <c r="J63" s="71"/>
    </row>
    <row r="64" spans="1:10" ht="13.5" customHeight="1">
      <c r="A64" s="385" t="s">
        <v>401</v>
      </c>
      <c r="B64" s="385"/>
      <c r="C64" s="385"/>
      <c r="D64" s="385"/>
      <c r="E64" s="385"/>
      <c r="F64" s="385"/>
      <c r="G64" s="19">
        <v>56</v>
      </c>
      <c r="H64" s="20"/>
      <c r="I64" s="71"/>
      <c r="J64" s="71"/>
    </row>
    <row r="65" spans="1:10" ht="24.75" customHeight="1">
      <c r="A65" s="385" t="s">
        <v>2121</v>
      </c>
      <c r="B65" s="385"/>
      <c r="C65" s="385"/>
      <c r="D65" s="385"/>
      <c r="E65" s="385"/>
      <c r="F65" s="385"/>
      <c r="G65" s="19">
        <v>57</v>
      </c>
      <c r="H65" s="20"/>
      <c r="I65" s="71"/>
      <c r="J65" s="71"/>
    </row>
    <row r="66" spans="1:10" ht="24.75" customHeight="1">
      <c r="A66" s="385" t="s">
        <v>1812</v>
      </c>
      <c r="B66" s="385"/>
      <c r="C66" s="385"/>
      <c r="D66" s="385"/>
      <c r="E66" s="385"/>
      <c r="F66" s="385"/>
      <c r="G66" s="19">
        <v>58</v>
      </c>
      <c r="H66" s="20"/>
      <c r="I66" s="71"/>
      <c r="J66" s="71"/>
    </row>
    <row r="67" spans="1:10" ht="24.75" customHeight="1">
      <c r="A67" s="385" t="s">
        <v>2120</v>
      </c>
      <c r="B67" s="385"/>
      <c r="C67" s="385"/>
      <c r="D67" s="385"/>
      <c r="E67" s="385"/>
      <c r="F67" s="385"/>
      <c r="G67" s="19">
        <v>59</v>
      </c>
      <c r="H67" s="20"/>
      <c r="I67" s="71"/>
      <c r="J67" s="71"/>
    </row>
    <row r="68" spans="1:10" ht="13.5" customHeight="1">
      <c r="A68" s="385" t="s">
        <v>402</v>
      </c>
      <c r="B68" s="385"/>
      <c r="C68" s="385"/>
      <c r="D68" s="385"/>
      <c r="E68" s="385"/>
      <c r="F68" s="385"/>
      <c r="G68" s="19">
        <v>60</v>
      </c>
      <c r="H68" s="20"/>
      <c r="I68" s="71"/>
      <c r="J68" s="71"/>
    </row>
    <row r="69" spans="1:10" ht="13.5" customHeight="1">
      <c r="A69" s="385" t="s">
        <v>403</v>
      </c>
      <c r="B69" s="385"/>
      <c r="C69" s="385"/>
      <c r="D69" s="385"/>
      <c r="E69" s="385"/>
      <c r="F69" s="385"/>
      <c r="G69" s="19">
        <v>61</v>
      </c>
      <c r="H69" s="20"/>
      <c r="I69" s="71">
        <v>10000000</v>
      </c>
      <c r="J69" s="71">
        <v>10000000</v>
      </c>
    </row>
    <row r="70" spans="1:10" ht="13.5" customHeight="1">
      <c r="A70" s="385" t="s">
        <v>1038</v>
      </c>
      <c r="B70" s="385"/>
      <c r="C70" s="385"/>
      <c r="D70" s="385"/>
      <c r="E70" s="385"/>
      <c r="F70" s="385"/>
      <c r="G70" s="19">
        <v>62</v>
      </c>
      <c r="H70" s="20"/>
      <c r="I70" s="71"/>
      <c r="J70" s="71"/>
    </row>
    <row r="71" spans="1:10" ht="13.5" customHeight="1">
      <c r="A71" s="386" t="s">
        <v>2395</v>
      </c>
      <c r="B71" s="386"/>
      <c r="C71" s="386"/>
      <c r="D71" s="386"/>
      <c r="E71" s="386"/>
      <c r="F71" s="386"/>
      <c r="G71" s="19">
        <v>63</v>
      </c>
      <c r="H71" s="20"/>
      <c r="I71" s="71">
        <v>8213190</v>
      </c>
      <c r="J71" s="71">
        <v>4197425</v>
      </c>
    </row>
    <row r="72" spans="1:10" ht="24.75" customHeight="1">
      <c r="A72" s="387" t="s">
        <v>1558</v>
      </c>
      <c r="B72" s="387"/>
      <c r="C72" s="387"/>
      <c r="D72" s="387"/>
      <c r="E72" s="387"/>
      <c r="F72" s="387"/>
      <c r="G72" s="19">
        <v>64</v>
      </c>
      <c r="H72" s="20"/>
      <c r="I72" s="71"/>
      <c r="J72" s="71"/>
    </row>
    <row r="73" spans="1:10" ht="13.5" customHeight="1">
      <c r="A73" s="387" t="s">
        <v>2650</v>
      </c>
      <c r="B73" s="387"/>
      <c r="C73" s="387"/>
      <c r="D73" s="387"/>
      <c r="E73" s="387"/>
      <c r="F73" s="387"/>
      <c r="G73" s="19">
        <v>65</v>
      </c>
      <c r="H73" s="20"/>
      <c r="I73" s="70">
        <f>I9+I10+I45+I72</f>
        <v>193802004</v>
      </c>
      <c r="J73" s="70">
        <f>J9+J10+J45+J72</f>
        <v>195719532</v>
      </c>
    </row>
    <row r="74" spans="1:10" ht="13.5" customHeight="1">
      <c r="A74" s="388" t="s">
        <v>257</v>
      </c>
      <c r="B74" s="388"/>
      <c r="C74" s="388"/>
      <c r="D74" s="388"/>
      <c r="E74" s="388"/>
      <c r="F74" s="388"/>
      <c r="G74" s="21">
        <v>66</v>
      </c>
      <c r="H74" s="22"/>
      <c r="I74" s="72"/>
      <c r="J74" s="72"/>
    </row>
    <row r="75" spans="1:10" ht="13.5" customHeight="1">
      <c r="A75" s="404" t="s">
        <v>663</v>
      </c>
      <c r="B75" s="406"/>
      <c r="C75" s="406"/>
      <c r="D75" s="406"/>
      <c r="E75" s="406"/>
      <c r="F75" s="406"/>
      <c r="G75" s="406"/>
      <c r="H75" s="406"/>
      <c r="I75" s="406"/>
      <c r="J75" s="406"/>
    </row>
    <row r="76" spans="1:12" ht="13.5" customHeight="1">
      <c r="A76" s="387" t="s">
        <v>2651</v>
      </c>
      <c r="B76" s="387"/>
      <c r="C76" s="387"/>
      <c r="D76" s="387"/>
      <c r="E76" s="387"/>
      <c r="F76" s="387"/>
      <c r="G76" s="19">
        <v>67</v>
      </c>
      <c r="H76" s="20"/>
      <c r="I76" s="70">
        <f>I77+I78+I79+I85+I86+I90+I93+I96</f>
        <v>36198229</v>
      </c>
      <c r="J76" s="70">
        <f>J77+J78+J79+J85+J86+J90+J93+J96</f>
        <v>36371743</v>
      </c>
      <c r="L76" s="2" t="s">
        <v>2591</v>
      </c>
    </row>
    <row r="77" spans="1:10" ht="13.5" customHeight="1">
      <c r="A77" s="386" t="s">
        <v>935</v>
      </c>
      <c r="B77" s="386"/>
      <c r="C77" s="386"/>
      <c r="D77" s="386"/>
      <c r="E77" s="386"/>
      <c r="F77" s="386"/>
      <c r="G77" s="19">
        <v>68</v>
      </c>
      <c r="H77" s="20"/>
      <c r="I77" s="71">
        <v>30891800</v>
      </c>
      <c r="J77" s="71">
        <v>36191800</v>
      </c>
    </row>
    <row r="78" spans="1:12" ht="13.5" customHeight="1">
      <c r="A78" s="386" t="s">
        <v>936</v>
      </c>
      <c r="B78" s="386"/>
      <c r="C78" s="386"/>
      <c r="D78" s="386"/>
      <c r="E78" s="386"/>
      <c r="F78" s="386"/>
      <c r="G78" s="19">
        <v>69</v>
      </c>
      <c r="H78" s="20"/>
      <c r="I78" s="71"/>
      <c r="J78" s="71"/>
      <c r="L78" s="2" t="s">
        <v>2591</v>
      </c>
    </row>
    <row r="79" spans="1:12" ht="13.5" customHeight="1">
      <c r="A79" s="386" t="s">
        <v>2473</v>
      </c>
      <c r="B79" s="386"/>
      <c r="C79" s="386"/>
      <c r="D79" s="386"/>
      <c r="E79" s="386"/>
      <c r="F79" s="386"/>
      <c r="G79" s="19">
        <v>70</v>
      </c>
      <c r="H79" s="20"/>
      <c r="I79" s="70">
        <f>I80+I81-I82+I83+I84</f>
        <v>1659</v>
      </c>
      <c r="J79" s="70">
        <f>J80+J81-J82+J83+J84</f>
        <v>6429</v>
      </c>
      <c r="L79" s="2" t="s">
        <v>2591</v>
      </c>
    </row>
    <row r="80" spans="1:10" ht="13.5" customHeight="1">
      <c r="A80" s="385" t="s">
        <v>2641</v>
      </c>
      <c r="B80" s="385"/>
      <c r="C80" s="385"/>
      <c r="D80" s="385"/>
      <c r="E80" s="385"/>
      <c r="F80" s="385"/>
      <c r="G80" s="19">
        <v>71</v>
      </c>
      <c r="H80" s="20"/>
      <c r="I80" s="71"/>
      <c r="J80" s="71"/>
    </row>
    <row r="81" spans="1:10" ht="13.5" customHeight="1">
      <c r="A81" s="385" t="s">
        <v>2642</v>
      </c>
      <c r="B81" s="385"/>
      <c r="C81" s="385"/>
      <c r="D81" s="385"/>
      <c r="E81" s="385"/>
      <c r="F81" s="385"/>
      <c r="G81" s="19">
        <v>72</v>
      </c>
      <c r="H81" s="20"/>
      <c r="I81" s="71"/>
      <c r="J81" s="71"/>
    </row>
    <row r="82" spans="1:10" ht="13.5" customHeight="1">
      <c r="A82" s="385" t="s">
        <v>1133</v>
      </c>
      <c r="B82" s="385"/>
      <c r="C82" s="385"/>
      <c r="D82" s="385"/>
      <c r="E82" s="385"/>
      <c r="F82" s="385"/>
      <c r="G82" s="19">
        <v>73</v>
      </c>
      <c r="H82" s="20"/>
      <c r="I82" s="71"/>
      <c r="J82" s="71"/>
    </row>
    <row r="83" spans="1:10" ht="13.5" customHeight="1">
      <c r="A83" s="385" t="s">
        <v>1134</v>
      </c>
      <c r="B83" s="385"/>
      <c r="C83" s="385"/>
      <c r="D83" s="385"/>
      <c r="E83" s="385"/>
      <c r="F83" s="385"/>
      <c r="G83" s="19">
        <v>74</v>
      </c>
      <c r="H83" s="20"/>
      <c r="I83" s="71"/>
      <c r="J83" s="71"/>
    </row>
    <row r="84" spans="1:10" ht="13.5" customHeight="1">
      <c r="A84" s="385" t="s">
        <v>1135</v>
      </c>
      <c r="B84" s="385"/>
      <c r="C84" s="385"/>
      <c r="D84" s="385"/>
      <c r="E84" s="385"/>
      <c r="F84" s="385"/>
      <c r="G84" s="19">
        <v>75</v>
      </c>
      <c r="H84" s="20"/>
      <c r="I84" s="71">
        <v>1659</v>
      </c>
      <c r="J84" s="71">
        <v>6429</v>
      </c>
    </row>
    <row r="85" spans="1:12" ht="13.5" customHeight="1">
      <c r="A85" s="386" t="s">
        <v>1606</v>
      </c>
      <c r="B85" s="386"/>
      <c r="C85" s="386"/>
      <c r="D85" s="386"/>
      <c r="E85" s="386"/>
      <c r="F85" s="386"/>
      <c r="G85" s="19">
        <v>76</v>
      </c>
      <c r="H85" s="20"/>
      <c r="I85" s="71"/>
      <c r="J85" s="71"/>
      <c r="L85" s="2" t="s">
        <v>2591</v>
      </c>
    </row>
    <row r="86" spans="1:10" ht="13.5" customHeight="1">
      <c r="A86" s="386" t="s">
        <v>19</v>
      </c>
      <c r="B86" s="386"/>
      <c r="C86" s="386"/>
      <c r="D86" s="386"/>
      <c r="E86" s="386"/>
      <c r="F86" s="386"/>
      <c r="G86" s="19">
        <v>77</v>
      </c>
      <c r="H86" s="20"/>
      <c r="I86" s="70">
        <f>SUM(I87:I89)</f>
        <v>0</v>
      </c>
      <c r="J86" s="70">
        <f>SUM(J87:J89)</f>
        <v>0</v>
      </c>
    </row>
    <row r="87" spans="1:10" ht="13.5" customHeight="1">
      <c r="A87" s="385" t="s">
        <v>1136</v>
      </c>
      <c r="B87" s="385"/>
      <c r="C87" s="385"/>
      <c r="D87" s="385"/>
      <c r="E87" s="385"/>
      <c r="F87" s="385"/>
      <c r="G87" s="19">
        <v>78</v>
      </c>
      <c r="H87" s="20"/>
      <c r="I87" s="71"/>
      <c r="J87" s="71"/>
    </row>
    <row r="88" spans="1:10" ht="13.5" customHeight="1">
      <c r="A88" s="385" t="s">
        <v>1137</v>
      </c>
      <c r="B88" s="385"/>
      <c r="C88" s="385"/>
      <c r="D88" s="385"/>
      <c r="E88" s="385"/>
      <c r="F88" s="385"/>
      <c r="G88" s="19">
        <v>79</v>
      </c>
      <c r="H88" s="20"/>
      <c r="I88" s="71"/>
      <c r="J88" s="71"/>
    </row>
    <row r="89" spans="1:10" ht="13.5" customHeight="1">
      <c r="A89" s="385" t="s">
        <v>1138</v>
      </c>
      <c r="B89" s="385"/>
      <c r="C89" s="385"/>
      <c r="D89" s="385"/>
      <c r="E89" s="385"/>
      <c r="F89" s="385"/>
      <c r="G89" s="19">
        <v>80</v>
      </c>
      <c r="H89" s="20"/>
      <c r="I89" s="71"/>
      <c r="J89" s="71"/>
    </row>
    <row r="90" spans="1:12" ht="13.5" customHeight="1">
      <c r="A90" s="386" t="s">
        <v>2652</v>
      </c>
      <c r="B90" s="386"/>
      <c r="C90" s="386"/>
      <c r="D90" s="386"/>
      <c r="E90" s="386"/>
      <c r="F90" s="386"/>
      <c r="G90" s="19">
        <v>81</v>
      </c>
      <c r="H90" s="20"/>
      <c r="I90" s="70">
        <f>I91-I92</f>
        <v>0</v>
      </c>
      <c r="J90" s="70">
        <f>J91-J92</f>
        <v>0</v>
      </c>
      <c r="L90" s="2" t="s">
        <v>2591</v>
      </c>
    </row>
    <row r="91" spans="1:10" ht="13.5" customHeight="1">
      <c r="A91" s="385" t="s">
        <v>1139</v>
      </c>
      <c r="B91" s="385"/>
      <c r="C91" s="385"/>
      <c r="D91" s="385"/>
      <c r="E91" s="385"/>
      <c r="F91" s="385"/>
      <c r="G91" s="19">
        <v>82</v>
      </c>
      <c r="H91" s="20"/>
      <c r="I91" s="71"/>
      <c r="J91" s="71"/>
    </row>
    <row r="92" spans="1:10" ht="13.5" customHeight="1">
      <c r="A92" s="385" t="s">
        <v>1140</v>
      </c>
      <c r="B92" s="385"/>
      <c r="C92" s="385"/>
      <c r="D92" s="385"/>
      <c r="E92" s="385"/>
      <c r="F92" s="385"/>
      <c r="G92" s="19">
        <v>83</v>
      </c>
      <c r="H92" s="20"/>
      <c r="I92" s="71"/>
      <c r="J92" s="71"/>
    </row>
    <row r="93" spans="1:12" ht="13.5" customHeight="1">
      <c r="A93" s="386" t="s">
        <v>2653</v>
      </c>
      <c r="B93" s="386"/>
      <c r="C93" s="386"/>
      <c r="D93" s="386"/>
      <c r="E93" s="386"/>
      <c r="F93" s="386"/>
      <c r="G93" s="19">
        <v>84</v>
      </c>
      <c r="H93" s="20"/>
      <c r="I93" s="70">
        <f>I94-I95</f>
        <v>5304770</v>
      </c>
      <c r="J93" s="70">
        <f>J94-J95</f>
        <v>173514</v>
      </c>
      <c r="L93" s="2" t="s">
        <v>2591</v>
      </c>
    </row>
    <row r="94" spans="1:10" ht="13.5" customHeight="1">
      <c r="A94" s="385" t="s">
        <v>2640</v>
      </c>
      <c r="B94" s="385"/>
      <c r="C94" s="385"/>
      <c r="D94" s="385"/>
      <c r="E94" s="385"/>
      <c r="F94" s="385"/>
      <c r="G94" s="19">
        <v>85</v>
      </c>
      <c r="H94" s="20"/>
      <c r="I94" s="71">
        <v>5304770</v>
      </c>
      <c r="J94" s="71">
        <v>173514</v>
      </c>
    </row>
    <row r="95" spans="1:10" ht="13.5" customHeight="1">
      <c r="A95" s="385" t="s">
        <v>1141</v>
      </c>
      <c r="B95" s="385"/>
      <c r="C95" s="385"/>
      <c r="D95" s="385"/>
      <c r="E95" s="385"/>
      <c r="F95" s="385"/>
      <c r="G95" s="19">
        <v>86</v>
      </c>
      <c r="H95" s="20"/>
      <c r="I95" s="71"/>
      <c r="J95" s="71"/>
    </row>
    <row r="96" spans="1:12" ht="13.5" customHeight="1">
      <c r="A96" s="386" t="s">
        <v>2191</v>
      </c>
      <c r="B96" s="386"/>
      <c r="C96" s="386"/>
      <c r="D96" s="386"/>
      <c r="E96" s="386"/>
      <c r="F96" s="386"/>
      <c r="G96" s="19">
        <v>87</v>
      </c>
      <c r="H96" s="20"/>
      <c r="I96" s="71"/>
      <c r="J96" s="71"/>
      <c r="L96" s="2" t="s">
        <v>2591</v>
      </c>
    </row>
    <row r="97" spans="1:10" ht="13.5" customHeight="1">
      <c r="A97" s="387" t="s">
        <v>2654</v>
      </c>
      <c r="B97" s="387"/>
      <c r="C97" s="387"/>
      <c r="D97" s="387"/>
      <c r="E97" s="387"/>
      <c r="F97" s="387"/>
      <c r="G97" s="19">
        <v>88</v>
      </c>
      <c r="H97" s="20"/>
      <c r="I97" s="70">
        <f>SUM(I98:I103)</f>
        <v>0</v>
      </c>
      <c r="J97" s="70">
        <f>SUM(J98:J103)</f>
        <v>0</v>
      </c>
    </row>
    <row r="98" spans="1:10" ht="13.5" customHeight="1">
      <c r="A98" s="385" t="s">
        <v>901</v>
      </c>
      <c r="B98" s="385"/>
      <c r="C98" s="385"/>
      <c r="D98" s="385"/>
      <c r="E98" s="385"/>
      <c r="F98" s="385"/>
      <c r="G98" s="19">
        <v>89</v>
      </c>
      <c r="H98" s="20"/>
      <c r="I98" s="71"/>
      <c r="J98" s="71"/>
    </row>
    <row r="99" spans="1:10" ht="13.5" customHeight="1">
      <c r="A99" s="385" t="s">
        <v>902</v>
      </c>
      <c r="B99" s="385"/>
      <c r="C99" s="385"/>
      <c r="D99" s="385"/>
      <c r="E99" s="385"/>
      <c r="F99" s="385"/>
      <c r="G99" s="19">
        <v>90</v>
      </c>
      <c r="H99" s="20"/>
      <c r="I99" s="71"/>
      <c r="J99" s="71"/>
    </row>
    <row r="100" spans="1:10" ht="13.5" customHeight="1">
      <c r="A100" s="385" t="s">
        <v>2639</v>
      </c>
      <c r="B100" s="385"/>
      <c r="C100" s="385"/>
      <c r="D100" s="385"/>
      <c r="E100" s="385"/>
      <c r="F100" s="385"/>
      <c r="G100" s="19">
        <v>91</v>
      </c>
      <c r="H100" s="20"/>
      <c r="I100" s="71"/>
      <c r="J100" s="71"/>
    </row>
    <row r="101" spans="1:10" ht="13.5" customHeight="1">
      <c r="A101" s="385" t="s">
        <v>1142</v>
      </c>
      <c r="B101" s="385"/>
      <c r="C101" s="385"/>
      <c r="D101" s="385"/>
      <c r="E101" s="385"/>
      <c r="F101" s="385"/>
      <c r="G101" s="19">
        <v>92</v>
      </c>
      <c r="H101" s="20"/>
      <c r="I101" s="71"/>
      <c r="J101" s="71"/>
    </row>
    <row r="102" spans="1:10" ht="13.5" customHeight="1">
      <c r="A102" s="385" t="s">
        <v>501</v>
      </c>
      <c r="B102" s="385"/>
      <c r="C102" s="385"/>
      <c r="D102" s="385"/>
      <c r="E102" s="385"/>
      <c r="F102" s="385"/>
      <c r="G102" s="19">
        <v>93</v>
      </c>
      <c r="H102" s="20"/>
      <c r="I102" s="71"/>
      <c r="J102" s="71"/>
    </row>
    <row r="103" spans="1:10" ht="13.5" customHeight="1">
      <c r="A103" s="385" t="s">
        <v>2192</v>
      </c>
      <c r="B103" s="385"/>
      <c r="C103" s="385"/>
      <c r="D103" s="385"/>
      <c r="E103" s="385"/>
      <c r="F103" s="385"/>
      <c r="G103" s="19">
        <v>94</v>
      </c>
      <c r="H103" s="20"/>
      <c r="I103" s="71"/>
      <c r="J103" s="71"/>
    </row>
    <row r="104" spans="1:10" ht="13.5" customHeight="1">
      <c r="A104" s="387" t="s">
        <v>2655</v>
      </c>
      <c r="B104" s="387"/>
      <c r="C104" s="387"/>
      <c r="D104" s="387"/>
      <c r="E104" s="387"/>
      <c r="F104" s="387"/>
      <c r="G104" s="19">
        <v>95</v>
      </c>
      <c r="H104" s="20"/>
      <c r="I104" s="70">
        <f>SUM(I105:I115)</f>
        <v>11451198</v>
      </c>
      <c r="J104" s="70">
        <f>SUM(J105:J115)</f>
        <v>9792057</v>
      </c>
    </row>
    <row r="105" spans="1:10" ht="13.5" customHeight="1">
      <c r="A105" s="385" t="s">
        <v>2193</v>
      </c>
      <c r="B105" s="385"/>
      <c r="C105" s="385"/>
      <c r="D105" s="385"/>
      <c r="E105" s="385"/>
      <c r="F105" s="385"/>
      <c r="G105" s="19">
        <v>96</v>
      </c>
      <c r="H105" s="20"/>
      <c r="I105" s="71"/>
      <c r="J105" s="71"/>
    </row>
    <row r="106" spans="1:10" ht="13.5" customHeight="1">
      <c r="A106" s="385" t="s">
        <v>356</v>
      </c>
      <c r="B106" s="385"/>
      <c r="C106" s="385"/>
      <c r="D106" s="385"/>
      <c r="E106" s="385"/>
      <c r="F106" s="385"/>
      <c r="G106" s="19">
        <v>97</v>
      </c>
      <c r="H106" s="20"/>
      <c r="I106" s="71"/>
      <c r="J106" s="71"/>
    </row>
    <row r="107" spans="1:10" ht="13.5" customHeight="1">
      <c r="A107" s="385" t="s">
        <v>360</v>
      </c>
      <c r="B107" s="385"/>
      <c r="C107" s="385"/>
      <c r="D107" s="385"/>
      <c r="E107" s="385"/>
      <c r="F107" s="385"/>
      <c r="G107" s="19">
        <v>98</v>
      </c>
      <c r="H107" s="20"/>
      <c r="I107" s="71"/>
      <c r="J107" s="71"/>
    </row>
    <row r="108" spans="1:10" ht="24.75" customHeight="1">
      <c r="A108" s="385" t="s">
        <v>1559</v>
      </c>
      <c r="B108" s="385"/>
      <c r="C108" s="385"/>
      <c r="D108" s="385"/>
      <c r="E108" s="385"/>
      <c r="F108" s="385"/>
      <c r="G108" s="19">
        <v>99</v>
      </c>
      <c r="H108" s="20"/>
      <c r="I108" s="71"/>
      <c r="J108" s="71"/>
    </row>
    <row r="109" spans="1:10" ht="13.5" customHeight="1">
      <c r="A109" s="385" t="s">
        <v>361</v>
      </c>
      <c r="B109" s="385"/>
      <c r="C109" s="385"/>
      <c r="D109" s="385"/>
      <c r="E109" s="385"/>
      <c r="F109" s="385"/>
      <c r="G109" s="19">
        <v>100</v>
      </c>
      <c r="H109" s="20"/>
      <c r="I109" s="71">
        <v>11400185</v>
      </c>
      <c r="J109" s="71">
        <v>9744749</v>
      </c>
    </row>
    <row r="110" spans="1:10" ht="13.5" customHeight="1">
      <c r="A110" s="385" t="s">
        <v>362</v>
      </c>
      <c r="B110" s="385"/>
      <c r="C110" s="385"/>
      <c r="D110" s="385"/>
      <c r="E110" s="385"/>
      <c r="F110" s="385"/>
      <c r="G110" s="19">
        <v>101</v>
      </c>
      <c r="H110" s="20"/>
      <c r="I110" s="71"/>
      <c r="J110" s="71"/>
    </row>
    <row r="111" spans="1:10" ht="13.5" customHeight="1">
      <c r="A111" s="385" t="s">
        <v>357</v>
      </c>
      <c r="B111" s="385"/>
      <c r="C111" s="385"/>
      <c r="D111" s="385"/>
      <c r="E111" s="385"/>
      <c r="F111" s="385"/>
      <c r="G111" s="19">
        <v>102</v>
      </c>
      <c r="H111" s="20"/>
      <c r="I111" s="71"/>
      <c r="J111" s="71"/>
    </row>
    <row r="112" spans="1:10" ht="13.5" customHeight="1">
      <c r="A112" s="385" t="s">
        <v>358</v>
      </c>
      <c r="B112" s="385"/>
      <c r="C112" s="385"/>
      <c r="D112" s="385"/>
      <c r="E112" s="385"/>
      <c r="F112" s="385"/>
      <c r="G112" s="19">
        <v>103</v>
      </c>
      <c r="H112" s="20"/>
      <c r="I112" s="71"/>
      <c r="J112" s="71"/>
    </row>
    <row r="113" spans="1:10" ht="13.5" customHeight="1">
      <c r="A113" s="385" t="s">
        <v>359</v>
      </c>
      <c r="B113" s="385"/>
      <c r="C113" s="385"/>
      <c r="D113" s="385"/>
      <c r="E113" s="385"/>
      <c r="F113" s="385"/>
      <c r="G113" s="19">
        <v>104</v>
      </c>
      <c r="H113" s="20"/>
      <c r="I113" s="71"/>
      <c r="J113" s="71"/>
    </row>
    <row r="114" spans="1:10" ht="13.5" customHeight="1">
      <c r="A114" s="385" t="s">
        <v>502</v>
      </c>
      <c r="B114" s="385"/>
      <c r="C114" s="385"/>
      <c r="D114" s="385"/>
      <c r="E114" s="385"/>
      <c r="F114" s="385"/>
      <c r="G114" s="19">
        <v>105</v>
      </c>
      <c r="H114" s="20"/>
      <c r="I114" s="71">
        <v>51013</v>
      </c>
      <c r="J114" s="71">
        <v>47308</v>
      </c>
    </row>
    <row r="115" spans="1:10" ht="13.5" customHeight="1">
      <c r="A115" s="385" t="s">
        <v>503</v>
      </c>
      <c r="B115" s="385"/>
      <c r="C115" s="385"/>
      <c r="D115" s="385"/>
      <c r="E115" s="385"/>
      <c r="F115" s="385"/>
      <c r="G115" s="19">
        <v>106</v>
      </c>
      <c r="H115" s="20"/>
      <c r="I115" s="71"/>
      <c r="J115" s="71"/>
    </row>
    <row r="116" spans="1:10" ht="13.5" customHeight="1">
      <c r="A116" s="387" t="s">
        <v>2656</v>
      </c>
      <c r="B116" s="387"/>
      <c r="C116" s="387"/>
      <c r="D116" s="387"/>
      <c r="E116" s="387"/>
      <c r="F116" s="387"/>
      <c r="G116" s="19">
        <v>107</v>
      </c>
      <c r="H116" s="20"/>
      <c r="I116" s="70">
        <f>SUM(I117:I130)</f>
        <v>4674099</v>
      </c>
      <c r="J116" s="70">
        <f>SUM(J117:J130)</f>
        <v>3494529</v>
      </c>
    </row>
    <row r="117" spans="1:10" ht="13.5" customHeight="1">
      <c r="A117" s="385" t="s">
        <v>2193</v>
      </c>
      <c r="B117" s="385"/>
      <c r="C117" s="385"/>
      <c r="D117" s="385"/>
      <c r="E117" s="385"/>
      <c r="F117" s="385"/>
      <c r="G117" s="19">
        <v>108</v>
      </c>
      <c r="H117" s="20"/>
      <c r="I117" s="71"/>
      <c r="J117" s="71"/>
    </row>
    <row r="118" spans="1:10" ht="13.5" customHeight="1">
      <c r="A118" s="385" t="s">
        <v>356</v>
      </c>
      <c r="B118" s="385"/>
      <c r="C118" s="385"/>
      <c r="D118" s="385"/>
      <c r="E118" s="385"/>
      <c r="F118" s="385"/>
      <c r="G118" s="19">
        <v>109</v>
      </c>
      <c r="H118" s="20"/>
      <c r="I118" s="71"/>
      <c r="J118" s="71"/>
    </row>
    <row r="119" spans="1:10" ht="13.5" customHeight="1">
      <c r="A119" s="385" t="s">
        <v>360</v>
      </c>
      <c r="B119" s="385"/>
      <c r="C119" s="385"/>
      <c r="D119" s="385"/>
      <c r="E119" s="385"/>
      <c r="F119" s="385"/>
      <c r="G119" s="19">
        <v>110</v>
      </c>
      <c r="H119" s="20"/>
      <c r="I119" s="71"/>
      <c r="J119" s="71"/>
    </row>
    <row r="120" spans="1:10" ht="24.75" customHeight="1">
      <c r="A120" s="385" t="s">
        <v>1559</v>
      </c>
      <c r="B120" s="385"/>
      <c r="C120" s="385"/>
      <c r="D120" s="385"/>
      <c r="E120" s="385"/>
      <c r="F120" s="385"/>
      <c r="G120" s="19">
        <v>111</v>
      </c>
      <c r="H120" s="20"/>
      <c r="I120" s="71"/>
      <c r="J120" s="71"/>
    </row>
    <row r="121" spans="1:10" ht="13.5" customHeight="1">
      <c r="A121" s="385" t="s">
        <v>361</v>
      </c>
      <c r="B121" s="385"/>
      <c r="C121" s="385"/>
      <c r="D121" s="385"/>
      <c r="E121" s="385"/>
      <c r="F121" s="385"/>
      <c r="G121" s="19">
        <v>112</v>
      </c>
      <c r="H121" s="20"/>
      <c r="I121" s="71"/>
      <c r="J121" s="71"/>
    </row>
    <row r="122" spans="1:10" ht="13.5" customHeight="1">
      <c r="A122" s="385" t="s">
        <v>362</v>
      </c>
      <c r="B122" s="385"/>
      <c r="C122" s="385"/>
      <c r="D122" s="385"/>
      <c r="E122" s="385"/>
      <c r="F122" s="385"/>
      <c r="G122" s="19">
        <v>113</v>
      </c>
      <c r="H122" s="20"/>
      <c r="I122" s="71"/>
      <c r="J122" s="71"/>
    </row>
    <row r="123" spans="1:10" ht="13.5" customHeight="1">
      <c r="A123" s="385" t="s">
        <v>357</v>
      </c>
      <c r="B123" s="385"/>
      <c r="C123" s="385"/>
      <c r="D123" s="385"/>
      <c r="E123" s="385"/>
      <c r="F123" s="385"/>
      <c r="G123" s="19">
        <v>114</v>
      </c>
      <c r="H123" s="20"/>
      <c r="I123" s="71">
        <v>120000</v>
      </c>
      <c r="J123" s="71">
        <v>121933</v>
      </c>
    </row>
    <row r="124" spans="1:10" ht="13.5" customHeight="1">
      <c r="A124" s="385" t="s">
        <v>358</v>
      </c>
      <c r="B124" s="385"/>
      <c r="C124" s="385"/>
      <c r="D124" s="385"/>
      <c r="E124" s="385"/>
      <c r="F124" s="385"/>
      <c r="G124" s="19">
        <v>115</v>
      </c>
      <c r="H124" s="20"/>
      <c r="I124" s="71">
        <v>1843404</v>
      </c>
      <c r="J124" s="71">
        <v>453997</v>
      </c>
    </row>
    <row r="125" spans="1:10" ht="13.5" customHeight="1">
      <c r="A125" s="385" t="s">
        <v>359</v>
      </c>
      <c r="B125" s="385"/>
      <c r="C125" s="385"/>
      <c r="D125" s="385"/>
      <c r="E125" s="385"/>
      <c r="F125" s="385"/>
      <c r="G125" s="19">
        <v>116</v>
      </c>
      <c r="H125" s="20"/>
      <c r="I125" s="71"/>
      <c r="J125" s="71"/>
    </row>
    <row r="126" spans="1:10" ht="13.5" customHeight="1">
      <c r="A126" s="385" t="s">
        <v>363</v>
      </c>
      <c r="B126" s="385"/>
      <c r="C126" s="385"/>
      <c r="D126" s="385"/>
      <c r="E126" s="385"/>
      <c r="F126" s="385"/>
      <c r="G126" s="19">
        <v>117</v>
      </c>
      <c r="H126" s="20"/>
      <c r="I126" s="71">
        <v>472889</v>
      </c>
      <c r="J126" s="71">
        <v>430246</v>
      </c>
    </row>
    <row r="127" spans="1:10" ht="13.5" customHeight="1">
      <c r="A127" s="385" t="s">
        <v>364</v>
      </c>
      <c r="B127" s="385"/>
      <c r="C127" s="385"/>
      <c r="D127" s="385"/>
      <c r="E127" s="385"/>
      <c r="F127" s="385"/>
      <c r="G127" s="19">
        <v>118</v>
      </c>
      <c r="H127" s="20"/>
      <c r="I127" s="71">
        <v>373597</v>
      </c>
      <c r="J127" s="71">
        <v>308560</v>
      </c>
    </row>
    <row r="128" spans="1:10" ht="13.5" customHeight="1">
      <c r="A128" s="385" t="s">
        <v>365</v>
      </c>
      <c r="B128" s="385"/>
      <c r="C128" s="385"/>
      <c r="D128" s="385"/>
      <c r="E128" s="385"/>
      <c r="F128" s="385"/>
      <c r="G128" s="19">
        <v>119</v>
      </c>
      <c r="H128" s="20"/>
      <c r="I128" s="71"/>
      <c r="J128" s="71"/>
    </row>
    <row r="129" spans="1:10" ht="13.5" customHeight="1">
      <c r="A129" s="385" t="s">
        <v>398</v>
      </c>
      <c r="B129" s="385"/>
      <c r="C129" s="385"/>
      <c r="D129" s="385"/>
      <c r="E129" s="385"/>
      <c r="F129" s="385"/>
      <c r="G129" s="19">
        <v>120</v>
      </c>
      <c r="H129" s="20"/>
      <c r="I129" s="71"/>
      <c r="J129" s="71"/>
    </row>
    <row r="130" spans="1:10" ht="13.5" customHeight="1">
      <c r="A130" s="385" t="s">
        <v>1039</v>
      </c>
      <c r="B130" s="385"/>
      <c r="C130" s="385"/>
      <c r="D130" s="385"/>
      <c r="E130" s="385"/>
      <c r="F130" s="385"/>
      <c r="G130" s="19">
        <v>121</v>
      </c>
      <c r="H130" s="20"/>
      <c r="I130" s="71">
        <v>1864209</v>
      </c>
      <c r="J130" s="71">
        <v>2179793</v>
      </c>
    </row>
    <row r="131" spans="1:10" ht="24.75" customHeight="1">
      <c r="A131" s="387" t="s">
        <v>1560</v>
      </c>
      <c r="B131" s="387"/>
      <c r="C131" s="387"/>
      <c r="D131" s="387"/>
      <c r="E131" s="387"/>
      <c r="F131" s="387"/>
      <c r="G131" s="19">
        <v>122</v>
      </c>
      <c r="H131" s="20"/>
      <c r="I131" s="71">
        <v>141478478</v>
      </c>
      <c r="J131" s="71">
        <v>146061203</v>
      </c>
    </row>
    <row r="132" spans="1:10" ht="13.5" customHeight="1">
      <c r="A132" s="387" t="s">
        <v>2657</v>
      </c>
      <c r="B132" s="387"/>
      <c r="C132" s="387"/>
      <c r="D132" s="387"/>
      <c r="E132" s="387"/>
      <c r="F132" s="387"/>
      <c r="G132" s="19">
        <v>123</v>
      </c>
      <c r="H132" s="20"/>
      <c r="I132" s="70">
        <f>I76+I97+I104+I116+I131</f>
        <v>193802004</v>
      </c>
      <c r="J132" s="70">
        <f>J76+J97+J104+J116+J131</f>
        <v>195719532</v>
      </c>
    </row>
    <row r="133" spans="1:10" ht="13.5" customHeight="1">
      <c r="A133" s="388" t="s">
        <v>662</v>
      </c>
      <c r="B133" s="388"/>
      <c r="C133" s="388"/>
      <c r="D133" s="388"/>
      <c r="E133" s="388"/>
      <c r="F133" s="388"/>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J2:J3"/>
    <mergeCell ref="A2:I2"/>
    <mergeCell ref="A3:I3"/>
    <mergeCell ref="A69:F69"/>
    <mergeCell ref="A5:J5"/>
    <mergeCell ref="A17:F17"/>
    <mergeCell ref="A6:F6"/>
    <mergeCell ref="A7:F7"/>
    <mergeCell ref="A16:F16"/>
    <mergeCell ref="A25:F25"/>
    <mergeCell ref="A107:F107"/>
    <mergeCell ref="A102:F102"/>
    <mergeCell ref="A103:F103"/>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20:F20"/>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5" activePane="bottomLeft" state="frozen"/>
      <selection pane="topLeft" activeCell="A1" sqref="A1"/>
      <selection pane="bottomLeft" activeCell="J68" sqref="J68"/>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1" t="s">
        <v>139</v>
      </c>
      <c r="B2" s="420"/>
      <c r="C2" s="420"/>
      <c r="D2" s="420"/>
      <c r="E2" s="420"/>
      <c r="F2" s="420"/>
      <c r="G2" s="420"/>
      <c r="H2" s="420"/>
      <c r="I2" s="421"/>
      <c r="J2" s="389" t="s">
        <v>2592</v>
      </c>
      <c r="Q2" s="74">
        <f>IF(OR(MIN(I8:I105)&lt;0,MAX(I8:I105)&gt;0),1,0)</f>
        <v>1</v>
      </c>
      <c r="R2" s="73" t="s">
        <v>2586</v>
      </c>
    </row>
    <row r="3" spans="1:18" s="2" customFormat="1" ht="19.5" customHeight="1" thickBot="1">
      <c r="A3" s="394" t="str">
        <f>"za razdoblje "&amp;IF(RefStr!C4&lt;&gt;"",TEXT(RefStr!C4,"DD.MM.YYYY."),"__.__.____.")&amp;" do "&amp;IF(RefStr!F4&lt;&gt;"",TEXT(RefStr!F4,"DD.MM.YYYY."),"__.__.____.")</f>
        <v>za razdoblje 01.01.2017. do 31.12.2017.</v>
      </c>
      <c r="B3" s="422"/>
      <c r="C3" s="422"/>
      <c r="D3" s="422"/>
      <c r="E3" s="422"/>
      <c r="F3" s="422"/>
      <c r="G3" s="422"/>
      <c r="H3" s="422"/>
      <c r="I3" s="423"/>
      <c r="J3" s="390"/>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7" t="str">
        <f>"Obveznik: "&amp;IF(RefStr!C27&lt;&gt;"",RefStr!C27,"________")&amp;"; "&amp;IF(RefStr!C29&lt;&gt;"",RefStr!C29,"________________________________________________________"&amp;"; "&amp;IF(RefStr!F31&lt;&gt;"",RefStr!F31,"_______________"))</f>
        <v>Obveznik: 77317840351; VODOVOD d.o.o.</v>
      </c>
      <c r="B5" s="418"/>
      <c r="C5" s="418"/>
      <c r="D5" s="418"/>
      <c r="E5" s="418"/>
      <c r="F5" s="418"/>
      <c r="G5" s="418"/>
      <c r="H5" s="418"/>
      <c r="I5" s="418"/>
      <c r="J5" s="419"/>
      <c r="Q5" s="2">
        <f>IF(OR(MIN(I85:I87,I103:I105)&lt;0,MAX(I85:I87,I103:I105)&gt;0),1,0)</f>
        <v>0</v>
      </c>
      <c r="R5" s="73" t="s">
        <v>2588</v>
      </c>
    </row>
    <row r="6" spans="1:18" s="2" customFormat="1" ht="24.75" customHeight="1" thickBot="1">
      <c r="A6" s="400" t="s">
        <v>719</v>
      </c>
      <c r="B6" s="401"/>
      <c r="C6" s="401"/>
      <c r="D6" s="401"/>
      <c r="E6" s="401"/>
      <c r="F6" s="401"/>
      <c r="G6" s="97" t="s">
        <v>799</v>
      </c>
      <c r="H6" s="97" t="s">
        <v>1968</v>
      </c>
      <c r="I6" s="102" t="s">
        <v>459</v>
      </c>
      <c r="J6" s="103" t="s">
        <v>460</v>
      </c>
      <c r="Q6" s="2">
        <f>IF(OR(MIN(J85:J87,J103:J105)&lt;0,MAX(J85:J87,J103:J105)&gt;0),1,0)</f>
        <v>0</v>
      </c>
      <c r="R6" s="73" t="s">
        <v>2589</v>
      </c>
    </row>
    <row r="7" spans="1:18" s="2" customFormat="1" ht="13.5" customHeight="1">
      <c r="A7" s="402">
        <v>1</v>
      </c>
      <c r="B7" s="403"/>
      <c r="C7" s="403"/>
      <c r="D7" s="403"/>
      <c r="E7" s="403"/>
      <c r="F7" s="403"/>
      <c r="G7" s="105">
        <v>2</v>
      </c>
      <c r="H7" s="105">
        <v>3</v>
      </c>
      <c r="I7" s="104">
        <v>4</v>
      </c>
      <c r="J7" s="106">
        <v>5</v>
      </c>
      <c r="Q7" s="2">
        <f>IF(OR(MIN(RDG!I89:J101)&lt;0,MAX(RDG!I89:J101)&gt;0),1,0)</f>
        <v>0</v>
      </c>
      <c r="R7" s="73" t="s">
        <v>800</v>
      </c>
    </row>
    <row r="8" spans="1:18" s="2" customFormat="1" ht="13.5" customHeight="1">
      <c r="A8" s="424" t="s">
        <v>1836</v>
      </c>
      <c r="B8" s="424"/>
      <c r="C8" s="424"/>
      <c r="D8" s="424"/>
      <c r="E8" s="424"/>
      <c r="F8" s="424"/>
      <c r="G8" s="17">
        <v>125</v>
      </c>
      <c r="H8" s="18"/>
      <c r="I8" s="84">
        <f>SUM(I9:I13)</f>
        <v>24997581</v>
      </c>
      <c r="J8" s="84">
        <f>SUM(J9:J13)</f>
        <v>23303782</v>
      </c>
      <c r="Q8" s="2">
        <f>IF(OR(MIN(I70:J75)&lt;&gt;0,MAX(I70:J75)&lt;&gt;0),1,0)</f>
        <v>0</v>
      </c>
      <c r="R8" s="73" t="s">
        <v>2597</v>
      </c>
    </row>
    <row r="9" spans="1:10" s="2" customFormat="1" ht="13.5" customHeight="1">
      <c r="A9" s="385" t="s">
        <v>1434</v>
      </c>
      <c r="B9" s="385"/>
      <c r="C9" s="385"/>
      <c r="D9" s="385"/>
      <c r="E9" s="385"/>
      <c r="F9" s="385"/>
      <c r="G9" s="19">
        <v>126</v>
      </c>
      <c r="H9" s="20"/>
      <c r="I9" s="71"/>
      <c r="J9" s="71"/>
    </row>
    <row r="10" spans="1:10" s="2" customFormat="1" ht="13.5" customHeight="1">
      <c r="A10" s="385" t="s">
        <v>730</v>
      </c>
      <c r="B10" s="385"/>
      <c r="C10" s="385"/>
      <c r="D10" s="385"/>
      <c r="E10" s="385"/>
      <c r="F10" s="385"/>
      <c r="G10" s="19">
        <v>127</v>
      </c>
      <c r="H10" s="20"/>
      <c r="I10" s="71">
        <v>16601923</v>
      </c>
      <c r="J10" s="71">
        <v>18311133</v>
      </c>
    </row>
    <row r="11" spans="1:10" s="2" customFormat="1" ht="13.5" customHeight="1">
      <c r="A11" s="385" t="s">
        <v>1435</v>
      </c>
      <c r="B11" s="385"/>
      <c r="C11" s="385"/>
      <c r="D11" s="385"/>
      <c r="E11" s="385"/>
      <c r="F11" s="385"/>
      <c r="G11" s="19">
        <v>128</v>
      </c>
      <c r="H11" s="20"/>
      <c r="I11" s="71"/>
      <c r="J11" s="71"/>
    </row>
    <row r="12" spans="1:10" s="2" customFormat="1" ht="13.5" customHeight="1">
      <c r="A12" s="385" t="s">
        <v>1436</v>
      </c>
      <c r="B12" s="385"/>
      <c r="C12" s="385"/>
      <c r="D12" s="385"/>
      <c r="E12" s="385"/>
      <c r="F12" s="385"/>
      <c r="G12" s="19">
        <v>129</v>
      </c>
      <c r="H12" s="20"/>
      <c r="I12" s="71"/>
      <c r="J12" s="71"/>
    </row>
    <row r="13" spans="1:10" s="2" customFormat="1" ht="13.5" customHeight="1">
      <c r="A13" s="385" t="s">
        <v>2510</v>
      </c>
      <c r="B13" s="385"/>
      <c r="C13" s="385"/>
      <c r="D13" s="385"/>
      <c r="E13" s="385"/>
      <c r="F13" s="385"/>
      <c r="G13" s="19">
        <v>130</v>
      </c>
      <c r="H13" s="20"/>
      <c r="I13" s="71">
        <v>8395658</v>
      </c>
      <c r="J13" s="71">
        <v>4992649</v>
      </c>
    </row>
    <row r="14" spans="1:10" s="2" customFormat="1" ht="13.5" customHeight="1">
      <c r="A14" s="387" t="s">
        <v>1837</v>
      </c>
      <c r="B14" s="387"/>
      <c r="C14" s="387"/>
      <c r="D14" s="387"/>
      <c r="E14" s="387"/>
      <c r="F14" s="387"/>
      <c r="G14" s="19">
        <v>131</v>
      </c>
      <c r="H14" s="20"/>
      <c r="I14" s="70">
        <f>I15+I16+I20+I24+I25+I26+I29+I36</f>
        <v>20248904</v>
      </c>
      <c r="J14" s="70">
        <f>J15+J16+J20+J24+J25+J26+J29+J36</f>
        <v>23352936</v>
      </c>
    </row>
    <row r="15" spans="1:12" s="2" customFormat="1" ht="13.5" customHeight="1">
      <c r="A15" s="385" t="s">
        <v>258</v>
      </c>
      <c r="B15" s="385"/>
      <c r="C15" s="385"/>
      <c r="D15" s="385"/>
      <c r="E15" s="385"/>
      <c r="F15" s="385"/>
      <c r="G15" s="19">
        <v>132</v>
      </c>
      <c r="H15" s="20"/>
      <c r="I15" s="71"/>
      <c r="J15" s="71"/>
      <c r="L15" s="2" t="s">
        <v>2591</v>
      </c>
    </row>
    <row r="16" spans="1:10" s="2" customFormat="1" ht="13.5" customHeight="1">
      <c r="A16" s="385" t="s">
        <v>1838</v>
      </c>
      <c r="B16" s="385"/>
      <c r="C16" s="385"/>
      <c r="D16" s="385"/>
      <c r="E16" s="385"/>
      <c r="F16" s="385"/>
      <c r="G16" s="19">
        <v>133</v>
      </c>
      <c r="H16" s="20"/>
      <c r="I16" s="70">
        <f>SUM(I17:I19)</f>
        <v>5299356</v>
      </c>
      <c r="J16" s="70">
        <f>SUM(J17:J19)</f>
        <v>6917222</v>
      </c>
    </row>
    <row r="17" spans="1:10" s="2" customFormat="1" ht="13.5" customHeight="1">
      <c r="A17" s="414" t="s">
        <v>504</v>
      </c>
      <c r="B17" s="414"/>
      <c r="C17" s="414"/>
      <c r="D17" s="414"/>
      <c r="E17" s="414"/>
      <c r="F17" s="414"/>
      <c r="G17" s="19">
        <v>134</v>
      </c>
      <c r="H17" s="20"/>
      <c r="I17" s="71">
        <v>2652123</v>
      </c>
      <c r="J17" s="71">
        <v>2829502</v>
      </c>
    </row>
    <row r="18" spans="1:10" s="2" customFormat="1" ht="13.5" customHeight="1">
      <c r="A18" s="414" t="s">
        <v>505</v>
      </c>
      <c r="B18" s="414"/>
      <c r="C18" s="414"/>
      <c r="D18" s="414"/>
      <c r="E18" s="414"/>
      <c r="F18" s="414"/>
      <c r="G18" s="19">
        <v>135</v>
      </c>
      <c r="H18" s="20"/>
      <c r="I18" s="71"/>
      <c r="J18" s="71"/>
    </row>
    <row r="19" spans="1:10" s="2" customFormat="1" ht="13.5" customHeight="1">
      <c r="A19" s="414" t="s">
        <v>1426</v>
      </c>
      <c r="B19" s="414"/>
      <c r="C19" s="414"/>
      <c r="D19" s="414"/>
      <c r="E19" s="414"/>
      <c r="F19" s="414"/>
      <c r="G19" s="19">
        <v>136</v>
      </c>
      <c r="H19" s="20"/>
      <c r="I19" s="71">
        <v>2647233</v>
      </c>
      <c r="J19" s="71">
        <v>4087720</v>
      </c>
    </row>
    <row r="20" spans="1:10" s="2" customFormat="1" ht="13.5" customHeight="1">
      <c r="A20" s="385" t="s">
        <v>1839</v>
      </c>
      <c r="B20" s="385"/>
      <c r="C20" s="385"/>
      <c r="D20" s="385"/>
      <c r="E20" s="385"/>
      <c r="F20" s="385"/>
      <c r="G20" s="19">
        <v>137</v>
      </c>
      <c r="H20" s="20"/>
      <c r="I20" s="70">
        <f>SUM(I21:I23)</f>
        <v>7452720</v>
      </c>
      <c r="J20" s="70">
        <f>SUM(J21:J23)</f>
        <v>7395238</v>
      </c>
    </row>
    <row r="21" spans="1:10" s="2" customFormat="1" ht="13.5" customHeight="1">
      <c r="A21" s="414" t="s">
        <v>724</v>
      </c>
      <c r="B21" s="414"/>
      <c r="C21" s="414"/>
      <c r="D21" s="414"/>
      <c r="E21" s="414"/>
      <c r="F21" s="414"/>
      <c r="G21" s="19">
        <v>138</v>
      </c>
      <c r="H21" s="20"/>
      <c r="I21" s="71">
        <v>4639863</v>
      </c>
      <c r="J21" s="71">
        <v>4668169</v>
      </c>
    </row>
    <row r="22" spans="1:10" s="2" customFormat="1" ht="13.5" customHeight="1">
      <c r="A22" s="414" t="s">
        <v>961</v>
      </c>
      <c r="B22" s="414"/>
      <c r="C22" s="414"/>
      <c r="D22" s="414"/>
      <c r="E22" s="414"/>
      <c r="F22" s="414"/>
      <c r="G22" s="19">
        <v>139</v>
      </c>
      <c r="H22" s="20"/>
      <c r="I22" s="71">
        <v>1718122</v>
      </c>
      <c r="J22" s="71">
        <v>1642249</v>
      </c>
    </row>
    <row r="23" spans="1:10" s="2" customFormat="1" ht="13.5" customHeight="1">
      <c r="A23" s="414" t="s">
        <v>962</v>
      </c>
      <c r="B23" s="414"/>
      <c r="C23" s="414"/>
      <c r="D23" s="414"/>
      <c r="E23" s="414"/>
      <c r="F23" s="414"/>
      <c r="G23" s="19">
        <v>140</v>
      </c>
      <c r="H23" s="20"/>
      <c r="I23" s="71">
        <v>1094735</v>
      </c>
      <c r="J23" s="71">
        <v>1084820</v>
      </c>
    </row>
    <row r="24" spans="1:10" s="2" customFormat="1" ht="13.5" customHeight="1">
      <c r="A24" s="385" t="s">
        <v>259</v>
      </c>
      <c r="B24" s="385"/>
      <c r="C24" s="385"/>
      <c r="D24" s="385"/>
      <c r="E24" s="385"/>
      <c r="F24" s="385"/>
      <c r="G24" s="19">
        <v>141</v>
      </c>
      <c r="H24" s="20"/>
      <c r="I24" s="71">
        <v>5787314</v>
      </c>
      <c r="J24" s="71">
        <v>6654165</v>
      </c>
    </row>
    <row r="25" spans="1:10" s="2" customFormat="1" ht="13.5" customHeight="1">
      <c r="A25" s="385" t="s">
        <v>260</v>
      </c>
      <c r="B25" s="385"/>
      <c r="C25" s="385"/>
      <c r="D25" s="385"/>
      <c r="E25" s="385"/>
      <c r="F25" s="385"/>
      <c r="G25" s="19">
        <v>142</v>
      </c>
      <c r="H25" s="20"/>
      <c r="I25" s="71">
        <v>1553113</v>
      </c>
      <c r="J25" s="71">
        <v>1596518</v>
      </c>
    </row>
    <row r="26" spans="1:12" s="2" customFormat="1" ht="13.5" customHeight="1">
      <c r="A26" s="385" t="s">
        <v>1840</v>
      </c>
      <c r="B26" s="385"/>
      <c r="C26" s="385"/>
      <c r="D26" s="385"/>
      <c r="E26" s="385"/>
      <c r="F26" s="385"/>
      <c r="G26" s="19">
        <v>143</v>
      </c>
      <c r="H26" s="20"/>
      <c r="I26" s="70">
        <f>SUM(I27:I28)</f>
        <v>29998</v>
      </c>
      <c r="J26" s="70">
        <f>SUM(J27:J28)</f>
        <v>640721</v>
      </c>
      <c r="L26" s="2" t="s">
        <v>2591</v>
      </c>
    </row>
    <row r="27" spans="1:12" s="2" customFormat="1" ht="13.5" customHeight="1">
      <c r="A27" s="414" t="s">
        <v>506</v>
      </c>
      <c r="B27" s="414"/>
      <c r="C27" s="414"/>
      <c r="D27" s="414"/>
      <c r="E27" s="414"/>
      <c r="F27" s="414"/>
      <c r="G27" s="19">
        <v>144</v>
      </c>
      <c r="H27" s="20"/>
      <c r="I27" s="71"/>
      <c r="J27" s="71"/>
      <c r="L27" s="2" t="s">
        <v>2591</v>
      </c>
    </row>
    <row r="28" spans="1:12" s="2" customFormat="1" ht="13.5" customHeight="1">
      <c r="A28" s="414" t="s">
        <v>507</v>
      </c>
      <c r="B28" s="414"/>
      <c r="C28" s="414"/>
      <c r="D28" s="414"/>
      <c r="E28" s="414"/>
      <c r="F28" s="414"/>
      <c r="G28" s="19">
        <v>145</v>
      </c>
      <c r="H28" s="20"/>
      <c r="I28" s="71">
        <v>29998</v>
      </c>
      <c r="J28" s="71">
        <v>640721</v>
      </c>
      <c r="L28" s="2" t="s">
        <v>2591</v>
      </c>
    </row>
    <row r="29" spans="1:12" s="2" customFormat="1" ht="13.5" customHeight="1">
      <c r="A29" s="385" t="s">
        <v>1841</v>
      </c>
      <c r="B29" s="385"/>
      <c r="C29" s="385"/>
      <c r="D29" s="385"/>
      <c r="E29" s="385"/>
      <c r="F29" s="385"/>
      <c r="G29" s="19">
        <v>146</v>
      </c>
      <c r="H29" s="20"/>
      <c r="I29" s="70">
        <f>SUM(I30:I35)</f>
        <v>0</v>
      </c>
      <c r="J29" s="70">
        <f>SUM(J30:J35)</f>
        <v>0</v>
      </c>
      <c r="L29" s="2" t="s">
        <v>2591</v>
      </c>
    </row>
    <row r="30" spans="1:12" s="2" customFormat="1" ht="13.5" customHeight="1">
      <c r="A30" s="414" t="s">
        <v>508</v>
      </c>
      <c r="B30" s="414"/>
      <c r="C30" s="414"/>
      <c r="D30" s="414"/>
      <c r="E30" s="414"/>
      <c r="F30" s="414"/>
      <c r="G30" s="19">
        <v>147</v>
      </c>
      <c r="H30" s="20"/>
      <c r="I30" s="71"/>
      <c r="J30" s="71"/>
      <c r="L30" s="2" t="s">
        <v>2591</v>
      </c>
    </row>
    <row r="31" spans="1:12" s="2" customFormat="1" ht="13.5" customHeight="1">
      <c r="A31" s="414" t="s">
        <v>509</v>
      </c>
      <c r="B31" s="414"/>
      <c r="C31" s="414"/>
      <c r="D31" s="414"/>
      <c r="E31" s="414"/>
      <c r="F31" s="414"/>
      <c r="G31" s="19">
        <v>148</v>
      </c>
      <c r="H31" s="20"/>
      <c r="I31" s="71"/>
      <c r="J31" s="71"/>
      <c r="L31" s="2" t="s">
        <v>2591</v>
      </c>
    </row>
    <row r="32" spans="1:12" s="2" customFormat="1" ht="13.5" customHeight="1">
      <c r="A32" s="414" t="s">
        <v>510</v>
      </c>
      <c r="B32" s="414"/>
      <c r="C32" s="414"/>
      <c r="D32" s="414"/>
      <c r="E32" s="414"/>
      <c r="F32" s="414"/>
      <c r="G32" s="19">
        <v>149</v>
      </c>
      <c r="H32" s="20"/>
      <c r="I32" s="71"/>
      <c r="J32" s="71"/>
      <c r="L32" s="2" t="s">
        <v>2591</v>
      </c>
    </row>
    <row r="33" spans="1:12" s="2" customFormat="1" ht="13.5" customHeight="1">
      <c r="A33" s="414" t="s">
        <v>511</v>
      </c>
      <c r="B33" s="414"/>
      <c r="C33" s="414"/>
      <c r="D33" s="414"/>
      <c r="E33" s="414"/>
      <c r="F33" s="414"/>
      <c r="G33" s="19">
        <v>150</v>
      </c>
      <c r="H33" s="20"/>
      <c r="I33" s="71"/>
      <c r="J33" s="71"/>
      <c r="L33" s="2" t="s">
        <v>2591</v>
      </c>
    </row>
    <row r="34" spans="1:12" s="2" customFormat="1" ht="13.5" customHeight="1">
      <c r="A34" s="414" t="s">
        <v>512</v>
      </c>
      <c r="B34" s="414"/>
      <c r="C34" s="414"/>
      <c r="D34" s="414"/>
      <c r="E34" s="414"/>
      <c r="F34" s="414"/>
      <c r="G34" s="19">
        <v>151</v>
      </c>
      <c r="H34" s="20"/>
      <c r="I34" s="71"/>
      <c r="J34" s="71"/>
      <c r="L34" s="2" t="s">
        <v>2591</v>
      </c>
    </row>
    <row r="35" spans="1:12" s="2" customFormat="1" ht="13.5" customHeight="1">
      <c r="A35" s="414" t="s">
        <v>513</v>
      </c>
      <c r="B35" s="414"/>
      <c r="C35" s="414"/>
      <c r="D35" s="414"/>
      <c r="E35" s="414"/>
      <c r="F35" s="414"/>
      <c r="G35" s="19">
        <v>152</v>
      </c>
      <c r="H35" s="20"/>
      <c r="I35" s="71"/>
      <c r="J35" s="71"/>
      <c r="L35" s="2" t="s">
        <v>2591</v>
      </c>
    </row>
    <row r="36" spans="1:10" s="2" customFormat="1" ht="13.5" customHeight="1">
      <c r="A36" s="385" t="s">
        <v>1692</v>
      </c>
      <c r="B36" s="385"/>
      <c r="C36" s="385"/>
      <c r="D36" s="385"/>
      <c r="E36" s="385"/>
      <c r="F36" s="385"/>
      <c r="G36" s="19">
        <v>153</v>
      </c>
      <c r="H36" s="20"/>
      <c r="I36" s="71">
        <v>126403</v>
      </c>
      <c r="J36" s="71">
        <v>149072</v>
      </c>
    </row>
    <row r="37" spans="1:10" s="2" customFormat="1" ht="13.5" customHeight="1">
      <c r="A37" s="387" t="s">
        <v>1842</v>
      </c>
      <c r="B37" s="387"/>
      <c r="C37" s="387"/>
      <c r="D37" s="387"/>
      <c r="E37" s="387"/>
      <c r="F37" s="387"/>
      <c r="G37" s="19">
        <v>154</v>
      </c>
      <c r="H37" s="20"/>
      <c r="I37" s="70">
        <f>SUM(I38:I47)</f>
        <v>616121</v>
      </c>
      <c r="J37" s="70">
        <f>SUM(J38:J47)</f>
        <v>329763</v>
      </c>
    </row>
    <row r="38" spans="1:10" s="2" customFormat="1" ht="13.5" customHeight="1">
      <c r="A38" s="385" t="s">
        <v>1433</v>
      </c>
      <c r="B38" s="385"/>
      <c r="C38" s="385"/>
      <c r="D38" s="385"/>
      <c r="E38" s="385"/>
      <c r="F38" s="385"/>
      <c r="G38" s="19">
        <v>155</v>
      </c>
      <c r="H38" s="20"/>
      <c r="I38" s="71"/>
      <c r="J38" s="71"/>
    </row>
    <row r="39" spans="1:10" s="2" customFormat="1" ht="24" customHeight="1">
      <c r="A39" s="385" t="s">
        <v>1561</v>
      </c>
      <c r="B39" s="385"/>
      <c r="C39" s="385"/>
      <c r="D39" s="385"/>
      <c r="E39" s="385"/>
      <c r="F39" s="385"/>
      <c r="G39" s="19">
        <v>156</v>
      </c>
      <c r="H39" s="20"/>
      <c r="I39" s="71"/>
      <c r="J39" s="71"/>
    </row>
    <row r="40" spans="1:10" s="2" customFormat="1" ht="24" customHeight="1">
      <c r="A40" s="385" t="s">
        <v>1432</v>
      </c>
      <c r="B40" s="385"/>
      <c r="C40" s="385"/>
      <c r="D40" s="385"/>
      <c r="E40" s="385"/>
      <c r="F40" s="385"/>
      <c r="G40" s="19">
        <v>157</v>
      </c>
      <c r="H40" s="20"/>
      <c r="I40" s="71"/>
      <c r="J40" s="71"/>
    </row>
    <row r="41" spans="1:10" s="2" customFormat="1" ht="13.5" customHeight="1">
      <c r="A41" s="385" t="s">
        <v>1431</v>
      </c>
      <c r="B41" s="385"/>
      <c r="C41" s="385"/>
      <c r="D41" s="385"/>
      <c r="E41" s="385"/>
      <c r="F41" s="385"/>
      <c r="G41" s="19">
        <v>158</v>
      </c>
      <c r="H41" s="20"/>
      <c r="I41" s="71"/>
      <c r="J41" s="71"/>
    </row>
    <row r="42" spans="1:10" s="2" customFormat="1" ht="24" customHeight="1">
      <c r="A42" s="385" t="s">
        <v>1562</v>
      </c>
      <c r="B42" s="385"/>
      <c r="C42" s="385"/>
      <c r="D42" s="385"/>
      <c r="E42" s="385"/>
      <c r="F42" s="385"/>
      <c r="G42" s="19">
        <v>159</v>
      </c>
      <c r="H42" s="20"/>
      <c r="I42" s="71"/>
      <c r="J42" s="71"/>
    </row>
    <row r="43" spans="1:10" s="2" customFormat="1" ht="13.5" customHeight="1">
      <c r="A43" s="385" t="s">
        <v>1430</v>
      </c>
      <c r="B43" s="385"/>
      <c r="C43" s="385"/>
      <c r="D43" s="385"/>
      <c r="E43" s="385"/>
      <c r="F43" s="385"/>
      <c r="G43" s="19">
        <v>160</v>
      </c>
      <c r="H43" s="20"/>
      <c r="I43" s="71"/>
      <c r="J43" s="71"/>
    </row>
    <row r="44" spans="1:10" s="2" customFormat="1" ht="13.5" customHeight="1">
      <c r="A44" s="385" t="s">
        <v>1429</v>
      </c>
      <c r="B44" s="385"/>
      <c r="C44" s="385"/>
      <c r="D44" s="385"/>
      <c r="E44" s="385"/>
      <c r="F44" s="385"/>
      <c r="G44" s="19">
        <v>161</v>
      </c>
      <c r="H44" s="20"/>
      <c r="I44" s="71">
        <v>605538</v>
      </c>
      <c r="J44" s="71">
        <v>308845</v>
      </c>
    </row>
    <row r="45" spans="1:10" s="2" customFormat="1" ht="13.5" customHeight="1">
      <c r="A45" s="385" t="s">
        <v>1428</v>
      </c>
      <c r="B45" s="385"/>
      <c r="C45" s="385"/>
      <c r="D45" s="385"/>
      <c r="E45" s="385"/>
      <c r="F45" s="385"/>
      <c r="G45" s="19">
        <v>162</v>
      </c>
      <c r="H45" s="20"/>
      <c r="I45" s="71"/>
      <c r="J45" s="71"/>
    </row>
    <row r="46" spans="1:10" s="2" customFormat="1" ht="13.5" customHeight="1">
      <c r="A46" s="385" t="s">
        <v>1427</v>
      </c>
      <c r="B46" s="385"/>
      <c r="C46" s="385"/>
      <c r="D46" s="385"/>
      <c r="E46" s="385"/>
      <c r="F46" s="385"/>
      <c r="G46" s="19">
        <v>163</v>
      </c>
      <c r="H46" s="20"/>
      <c r="I46" s="71"/>
      <c r="J46" s="71"/>
    </row>
    <row r="47" spans="1:10" s="2" customFormat="1" ht="13.5" customHeight="1">
      <c r="A47" s="385" t="s">
        <v>1423</v>
      </c>
      <c r="B47" s="385"/>
      <c r="C47" s="385"/>
      <c r="D47" s="385"/>
      <c r="E47" s="385"/>
      <c r="F47" s="385"/>
      <c r="G47" s="19">
        <v>164</v>
      </c>
      <c r="H47" s="20"/>
      <c r="I47" s="71">
        <v>10583</v>
      </c>
      <c r="J47" s="71">
        <v>20918</v>
      </c>
    </row>
    <row r="48" spans="1:10" s="2" customFormat="1" ht="13.5" customHeight="1">
      <c r="A48" s="387" t="s">
        <v>1843</v>
      </c>
      <c r="B48" s="387"/>
      <c r="C48" s="387"/>
      <c r="D48" s="387"/>
      <c r="E48" s="387"/>
      <c r="F48" s="387"/>
      <c r="G48" s="19">
        <v>165</v>
      </c>
      <c r="H48" s="20"/>
      <c r="I48" s="70">
        <f>SUM(I49:I55)</f>
        <v>32811</v>
      </c>
      <c r="J48" s="70">
        <f>SUM(J49:J55)</f>
        <v>20030</v>
      </c>
    </row>
    <row r="49" spans="1:10" s="2" customFormat="1" ht="13.5" customHeight="1">
      <c r="A49" s="385" t="s">
        <v>1424</v>
      </c>
      <c r="B49" s="385"/>
      <c r="C49" s="385"/>
      <c r="D49" s="385"/>
      <c r="E49" s="385"/>
      <c r="F49" s="385"/>
      <c r="G49" s="19">
        <v>166</v>
      </c>
      <c r="H49" s="20"/>
      <c r="I49" s="71"/>
      <c r="J49" s="71"/>
    </row>
    <row r="50" spans="1:10" s="2" customFormat="1" ht="13.5" customHeight="1">
      <c r="A50" s="408" t="s">
        <v>1437</v>
      </c>
      <c r="B50" s="408"/>
      <c r="C50" s="408"/>
      <c r="D50" s="408"/>
      <c r="E50" s="408"/>
      <c r="F50" s="408"/>
      <c r="G50" s="19">
        <v>167</v>
      </c>
      <c r="H50" s="20"/>
      <c r="I50" s="71"/>
      <c r="J50" s="71"/>
    </row>
    <row r="51" spans="1:10" s="2" customFormat="1" ht="13.5" customHeight="1">
      <c r="A51" s="408" t="s">
        <v>1438</v>
      </c>
      <c r="B51" s="408"/>
      <c r="C51" s="408"/>
      <c r="D51" s="408"/>
      <c r="E51" s="408"/>
      <c r="F51" s="408"/>
      <c r="G51" s="19">
        <v>168</v>
      </c>
      <c r="H51" s="20"/>
      <c r="I51" s="71">
        <v>32811</v>
      </c>
      <c r="J51" s="71">
        <v>20030</v>
      </c>
    </row>
    <row r="52" spans="1:10" s="2" customFormat="1" ht="13.5" customHeight="1">
      <c r="A52" s="408" t="s">
        <v>1439</v>
      </c>
      <c r="B52" s="408"/>
      <c r="C52" s="408"/>
      <c r="D52" s="408"/>
      <c r="E52" s="408"/>
      <c r="F52" s="408"/>
      <c r="G52" s="19">
        <v>169</v>
      </c>
      <c r="H52" s="20"/>
      <c r="I52" s="71"/>
      <c r="J52" s="71"/>
    </row>
    <row r="53" spans="1:10" s="2" customFormat="1" ht="13.5" customHeight="1">
      <c r="A53" s="408" t="s">
        <v>1440</v>
      </c>
      <c r="B53" s="408"/>
      <c r="C53" s="408"/>
      <c r="D53" s="408"/>
      <c r="E53" s="408"/>
      <c r="F53" s="408"/>
      <c r="G53" s="19">
        <v>170</v>
      </c>
      <c r="H53" s="20"/>
      <c r="I53" s="71"/>
      <c r="J53" s="71"/>
    </row>
    <row r="54" spans="1:12" s="2" customFormat="1" ht="13.5" customHeight="1">
      <c r="A54" s="408" t="s">
        <v>1441</v>
      </c>
      <c r="B54" s="408"/>
      <c r="C54" s="408"/>
      <c r="D54" s="408"/>
      <c r="E54" s="408"/>
      <c r="F54" s="408"/>
      <c r="G54" s="19">
        <v>171</v>
      </c>
      <c r="H54" s="20"/>
      <c r="I54" s="71"/>
      <c r="J54" s="71"/>
      <c r="L54" s="2" t="s">
        <v>2591</v>
      </c>
    </row>
    <row r="55" spans="1:10" s="2" customFormat="1" ht="13.5" customHeight="1">
      <c r="A55" s="408" t="s">
        <v>1442</v>
      </c>
      <c r="B55" s="408"/>
      <c r="C55" s="408"/>
      <c r="D55" s="408"/>
      <c r="E55" s="408"/>
      <c r="F55" s="408"/>
      <c r="G55" s="19">
        <v>172</v>
      </c>
      <c r="H55" s="20"/>
      <c r="I55" s="71"/>
      <c r="J55" s="71"/>
    </row>
    <row r="56" spans="1:10" s="2" customFormat="1" ht="24.75" customHeight="1">
      <c r="A56" s="387" t="s">
        <v>1563</v>
      </c>
      <c r="B56" s="387"/>
      <c r="C56" s="387"/>
      <c r="D56" s="387"/>
      <c r="E56" s="387"/>
      <c r="F56" s="387"/>
      <c r="G56" s="19">
        <v>173</v>
      </c>
      <c r="H56" s="20"/>
      <c r="I56" s="71"/>
      <c r="J56" s="71"/>
    </row>
    <row r="57" spans="1:10" s="2" customFormat="1" ht="13.5" customHeight="1">
      <c r="A57" s="387" t="s">
        <v>1443</v>
      </c>
      <c r="B57" s="387"/>
      <c r="C57" s="387"/>
      <c r="D57" s="387"/>
      <c r="E57" s="387"/>
      <c r="F57" s="387"/>
      <c r="G57" s="19">
        <v>174</v>
      </c>
      <c r="H57" s="20"/>
      <c r="I57" s="71"/>
      <c r="J57" s="71"/>
    </row>
    <row r="58" spans="1:10" s="2" customFormat="1" ht="24.75" customHeight="1">
      <c r="A58" s="387" t="s">
        <v>1444</v>
      </c>
      <c r="B58" s="387"/>
      <c r="C58" s="387"/>
      <c r="D58" s="387"/>
      <c r="E58" s="387"/>
      <c r="F58" s="387"/>
      <c r="G58" s="19">
        <v>175</v>
      </c>
      <c r="H58" s="20"/>
      <c r="I58" s="71"/>
      <c r="J58" s="71"/>
    </row>
    <row r="59" spans="1:10" s="2" customFormat="1" ht="13.5" customHeight="1">
      <c r="A59" s="387" t="s">
        <v>1445</v>
      </c>
      <c r="B59" s="387"/>
      <c r="C59" s="387"/>
      <c r="D59" s="387"/>
      <c r="E59" s="387"/>
      <c r="F59" s="387"/>
      <c r="G59" s="19">
        <v>176</v>
      </c>
      <c r="H59" s="20"/>
      <c r="I59" s="71"/>
      <c r="J59" s="71"/>
    </row>
    <row r="60" spans="1:10" s="2" customFormat="1" ht="13.5" customHeight="1">
      <c r="A60" s="387" t="s">
        <v>1844</v>
      </c>
      <c r="B60" s="387"/>
      <c r="C60" s="387"/>
      <c r="D60" s="387"/>
      <c r="E60" s="387"/>
      <c r="F60" s="387"/>
      <c r="G60" s="19">
        <v>177</v>
      </c>
      <c r="H60" s="20"/>
      <c r="I60" s="70">
        <f>I8+I37+I56+I57</f>
        <v>25613702</v>
      </c>
      <c r="J60" s="70">
        <f>J8+J37+J56+J57</f>
        <v>23633545</v>
      </c>
    </row>
    <row r="61" spans="1:10" s="2" customFormat="1" ht="13.5" customHeight="1">
      <c r="A61" s="387" t="s">
        <v>1845</v>
      </c>
      <c r="B61" s="387"/>
      <c r="C61" s="387"/>
      <c r="D61" s="387"/>
      <c r="E61" s="387"/>
      <c r="F61" s="387"/>
      <c r="G61" s="19">
        <v>178</v>
      </c>
      <c r="H61" s="20"/>
      <c r="I61" s="70">
        <f>I14+I48+I58+I59</f>
        <v>20281715</v>
      </c>
      <c r="J61" s="70">
        <f>J14+J48+J58+J59</f>
        <v>23372966</v>
      </c>
    </row>
    <row r="62" spans="1:12" s="2" customFormat="1" ht="13.5" customHeight="1">
      <c r="A62" s="387" t="s">
        <v>2581</v>
      </c>
      <c r="B62" s="387"/>
      <c r="C62" s="387"/>
      <c r="D62" s="387"/>
      <c r="E62" s="387"/>
      <c r="F62" s="387"/>
      <c r="G62" s="19">
        <v>179</v>
      </c>
      <c r="H62" s="20"/>
      <c r="I62" s="70">
        <f>I60-I61</f>
        <v>5331987</v>
      </c>
      <c r="J62" s="70">
        <f>J60-J61</f>
        <v>260579</v>
      </c>
      <c r="L62" s="2" t="s">
        <v>2591</v>
      </c>
    </row>
    <row r="63" spans="1:10" s="2" customFormat="1" ht="13.5" customHeight="1">
      <c r="A63" s="408" t="s">
        <v>2658</v>
      </c>
      <c r="B63" s="408"/>
      <c r="C63" s="408"/>
      <c r="D63" s="408"/>
      <c r="E63" s="408"/>
      <c r="F63" s="408"/>
      <c r="G63" s="19">
        <v>180</v>
      </c>
      <c r="H63" s="20"/>
      <c r="I63" s="70">
        <f>IF(I60&gt;I61,I60-I61,0)</f>
        <v>5331987</v>
      </c>
      <c r="J63" s="70">
        <f>IF(J60&gt;J61,J60-J61,0)</f>
        <v>260579</v>
      </c>
    </row>
    <row r="64" spans="1:10" s="2" customFormat="1" ht="13.5" customHeight="1">
      <c r="A64" s="408" t="s">
        <v>778</v>
      </c>
      <c r="B64" s="408"/>
      <c r="C64" s="408"/>
      <c r="D64" s="408"/>
      <c r="E64" s="408"/>
      <c r="F64" s="408"/>
      <c r="G64" s="19">
        <v>181</v>
      </c>
      <c r="H64" s="20"/>
      <c r="I64" s="70">
        <f>IF(I61&gt;I60,I61-I60,0)</f>
        <v>0</v>
      </c>
      <c r="J64" s="70">
        <f>IF(J61&gt;J60,J61-J60,0)</f>
        <v>0</v>
      </c>
    </row>
    <row r="65" spans="1:12" s="2" customFormat="1" ht="13.5" customHeight="1">
      <c r="A65" s="387" t="s">
        <v>2620</v>
      </c>
      <c r="B65" s="387"/>
      <c r="C65" s="387"/>
      <c r="D65" s="387"/>
      <c r="E65" s="387"/>
      <c r="F65" s="387"/>
      <c r="G65" s="19">
        <v>182</v>
      </c>
      <c r="H65" s="20"/>
      <c r="I65" s="71">
        <v>27217</v>
      </c>
      <c r="J65" s="71">
        <v>87065</v>
      </c>
      <c r="L65" s="2" t="s">
        <v>2591</v>
      </c>
    </row>
    <row r="66" spans="1:12" s="2" customFormat="1" ht="13.5" customHeight="1">
      <c r="A66" s="387" t="s">
        <v>2582</v>
      </c>
      <c r="B66" s="387"/>
      <c r="C66" s="387"/>
      <c r="D66" s="387"/>
      <c r="E66" s="387"/>
      <c r="F66" s="387"/>
      <c r="G66" s="19">
        <v>183</v>
      </c>
      <c r="H66" s="20"/>
      <c r="I66" s="70">
        <f>I62-I65</f>
        <v>5304770</v>
      </c>
      <c r="J66" s="70">
        <f>J62-J65</f>
        <v>173514</v>
      </c>
      <c r="L66" s="2" t="s">
        <v>2591</v>
      </c>
    </row>
    <row r="67" spans="1:10" s="2" customFormat="1" ht="13.5" customHeight="1">
      <c r="A67" s="408" t="s">
        <v>779</v>
      </c>
      <c r="B67" s="408"/>
      <c r="C67" s="408"/>
      <c r="D67" s="408"/>
      <c r="E67" s="408"/>
      <c r="F67" s="408"/>
      <c r="G67" s="19">
        <v>184</v>
      </c>
      <c r="H67" s="20"/>
      <c r="I67" s="70">
        <f>IF(I66&gt;0,I66,0)</f>
        <v>5304770</v>
      </c>
      <c r="J67" s="70">
        <f>IF(J66&gt;0,J66,0)</f>
        <v>173514</v>
      </c>
    </row>
    <row r="68" spans="1:10" s="2" customFormat="1" ht="13.5" customHeight="1">
      <c r="A68" s="425" t="s">
        <v>1472</v>
      </c>
      <c r="B68" s="425"/>
      <c r="C68" s="425"/>
      <c r="D68" s="425"/>
      <c r="E68" s="425"/>
      <c r="F68" s="425"/>
      <c r="G68" s="21">
        <v>185</v>
      </c>
      <c r="H68" s="22"/>
      <c r="I68" s="85">
        <f>IF(I66&lt;0,-I66,0)</f>
        <v>0</v>
      </c>
      <c r="J68" s="85">
        <f>IF(J66&lt;0,-J66,0)</f>
        <v>0</v>
      </c>
    </row>
    <row r="69" spans="1:10" s="2" customFormat="1" ht="15" customHeight="1">
      <c r="A69" s="404" t="s">
        <v>1425</v>
      </c>
      <c r="B69" s="404"/>
      <c r="C69" s="404"/>
      <c r="D69" s="404"/>
      <c r="E69" s="404"/>
      <c r="F69" s="404"/>
      <c r="G69" s="407"/>
      <c r="H69" s="407"/>
      <c r="I69" s="407"/>
      <c r="J69" s="407"/>
    </row>
    <row r="70" spans="1:12" s="2" customFormat="1" ht="25.5" customHeight="1">
      <c r="A70" s="387" t="s">
        <v>1564</v>
      </c>
      <c r="B70" s="387"/>
      <c r="C70" s="387"/>
      <c r="D70" s="387"/>
      <c r="E70" s="387"/>
      <c r="F70" s="387"/>
      <c r="G70" s="19">
        <v>186</v>
      </c>
      <c r="H70" s="20"/>
      <c r="I70" s="70">
        <f>I71-I72</f>
        <v>0</v>
      </c>
      <c r="J70" s="70">
        <f>J71-J72</f>
        <v>0</v>
      </c>
      <c r="L70" s="2" t="s">
        <v>2591</v>
      </c>
    </row>
    <row r="71" spans="1:10" s="2" customFormat="1" ht="13.5" customHeight="1">
      <c r="A71" s="408" t="s">
        <v>2059</v>
      </c>
      <c r="B71" s="408"/>
      <c r="C71" s="408"/>
      <c r="D71" s="408"/>
      <c r="E71" s="408"/>
      <c r="F71" s="408"/>
      <c r="G71" s="19">
        <v>187</v>
      </c>
      <c r="H71" s="20"/>
      <c r="I71" s="71"/>
      <c r="J71" s="71"/>
    </row>
    <row r="72" spans="1:10" s="2" customFormat="1" ht="13.5" customHeight="1">
      <c r="A72" s="408" t="s">
        <v>2060</v>
      </c>
      <c r="B72" s="408"/>
      <c r="C72" s="408"/>
      <c r="D72" s="408"/>
      <c r="E72" s="408"/>
      <c r="F72" s="408"/>
      <c r="G72" s="19">
        <v>188</v>
      </c>
      <c r="H72" s="20"/>
      <c r="I72" s="71"/>
      <c r="J72" s="71"/>
    </row>
    <row r="73" spans="1:12" s="2" customFormat="1" ht="13.5" customHeight="1">
      <c r="A73" s="387" t="s">
        <v>1446</v>
      </c>
      <c r="B73" s="387"/>
      <c r="C73" s="387"/>
      <c r="D73" s="387"/>
      <c r="E73" s="387"/>
      <c r="F73" s="387"/>
      <c r="G73" s="19">
        <v>189</v>
      </c>
      <c r="H73" s="20"/>
      <c r="I73" s="71"/>
      <c r="J73" s="71"/>
      <c r="L73" s="2" t="s">
        <v>2591</v>
      </c>
    </row>
    <row r="74" spans="1:10" s="2" customFormat="1" ht="13.5" customHeight="1">
      <c r="A74" s="408" t="s">
        <v>1728</v>
      </c>
      <c r="B74" s="408"/>
      <c r="C74" s="408"/>
      <c r="D74" s="408"/>
      <c r="E74" s="408"/>
      <c r="F74" s="408"/>
      <c r="G74" s="19">
        <v>190</v>
      </c>
      <c r="H74" s="20"/>
      <c r="I74" s="70">
        <f>IF(I70-I73&gt;0,I70-I73,0)</f>
        <v>0</v>
      </c>
      <c r="J74" s="70">
        <f>IF(J70-J73&gt;0,J70-J73,0)</f>
        <v>0</v>
      </c>
    </row>
    <row r="75" spans="1:10" s="2" customFormat="1" ht="13.5" customHeight="1">
      <c r="A75" s="425" t="s">
        <v>1846</v>
      </c>
      <c r="B75" s="425"/>
      <c r="C75" s="425"/>
      <c r="D75" s="425"/>
      <c r="E75" s="425"/>
      <c r="F75" s="425"/>
      <c r="G75" s="21">
        <v>191</v>
      </c>
      <c r="H75" s="22"/>
      <c r="I75" s="85">
        <f>IF(I73-I70&gt;0,I73-I70,0)</f>
        <v>0</v>
      </c>
      <c r="J75" s="85">
        <f>IF(J73-J70&gt;0,J73-J70,0)</f>
        <v>0</v>
      </c>
    </row>
    <row r="76" spans="1:10" s="2" customFormat="1" ht="15" customHeight="1">
      <c r="A76" s="404" t="s">
        <v>1447</v>
      </c>
      <c r="B76" s="404"/>
      <c r="C76" s="404"/>
      <c r="D76" s="404"/>
      <c r="E76" s="404"/>
      <c r="F76" s="404"/>
      <c r="G76" s="407"/>
      <c r="H76" s="407"/>
      <c r="I76" s="407"/>
      <c r="J76" s="407"/>
    </row>
    <row r="77" spans="1:12" s="2" customFormat="1" ht="13.5" customHeight="1">
      <c r="A77" s="387" t="s">
        <v>1732</v>
      </c>
      <c r="B77" s="387"/>
      <c r="C77" s="387"/>
      <c r="D77" s="387"/>
      <c r="E77" s="387"/>
      <c r="F77" s="387"/>
      <c r="G77" s="19">
        <v>192</v>
      </c>
      <c r="H77" s="20"/>
      <c r="I77" s="70">
        <f>(I62+I70)*$Q$8</f>
        <v>0</v>
      </c>
      <c r="J77" s="70">
        <f>(J62+J70)*$Q$8</f>
        <v>0</v>
      </c>
      <c r="L77" s="2" t="s">
        <v>2591</v>
      </c>
    </row>
    <row r="78" spans="1:10" s="2" customFormat="1" ht="13.5" customHeight="1">
      <c r="A78" s="408" t="s">
        <v>2007</v>
      </c>
      <c r="B78" s="408"/>
      <c r="C78" s="408"/>
      <c r="D78" s="408"/>
      <c r="E78" s="408"/>
      <c r="F78" s="408"/>
      <c r="G78" s="19">
        <v>193</v>
      </c>
      <c r="H78" s="20"/>
      <c r="I78" s="70">
        <f>IF(I77&gt;0,I77,0)</f>
        <v>0</v>
      </c>
      <c r="J78" s="70">
        <f>IF(J77&gt;0,J77,0)</f>
        <v>0</v>
      </c>
    </row>
    <row r="79" spans="1:10" s="2" customFormat="1" ht="13.5" customHeight="1">
      <c r="A79" s="408" t="s">
        <v>2008</v>
      </c>
      <c r="B79" s="408"/>
      <c r="C79" s="408"/>
      <c r="D79" s="408"/>
      <c r="E79" s="408"/>
      <c r="F79" s="408"/>
      <c r="G79" s="19">
        <v>194</v>
      </c>
      <c r="H79" s="20"/>
      <c r="I79" s="70">
        <f>IF(I77&lt;0,-I77,0)</f>
        <v>0</v>
      </c>
      <c r="J79" s="70">
        <f>IF(J77&lt;0,-J77,0)</f>
        <v>0</v>
      </c>
    </row>
    <row r="80" spans="1:12" s="2" customFormat="1" ht="13.5" customHeight="1">
      <c r="A80" s="387" t="s">
        <v>2006</v>
      </c>
      <c r="B80" s="387"/>
      <c r="C80" s="387"/>
      <c r="D80" s="387"/>
      <c r="E80" s="387"/>
      <c r="F80" s="387"/>
      <c r="G80" s="19">
        <v>195</v>
      </c>
      <c r="H80" s="20"/>
      <c r="I80" s="70">
        <f>(I73+I65)*$Q$8</f>
        <v>0</v>
      </c>
      <c r="J80" s="70">
        <f>(J73+J65)*$Q$8</f>
        <v>0</v>
      </c>
      <c r="L80" s="2" t="s">
        <v>2591</v>
      </c>
    </row>
    <row r="81" spans="1:12" s="2" customFormat="1" ht="13.5" customHeight="1">
      <c r="A81" s="387" t="s">
        <v>2009</v>
      </c>
      <c r="B81" s="387"/>
      <c r="C81" s="387"/>
      <c r="D81" s="387"/>
      <c r="E81" s="387"/>
      <c r="F81" s="387"/>
      <c r="G81" s="19">
        <v>196</v>
      </c>
      <c r="H81" s="20"/>
      <c r="I81" s="70">
        <f>I82-I83</f>
        <v>0</v>
      </c>
      <c r="J81" s="70">
        <f>J82-J83</f>
        <v>0</v>
      </c>
      <c r="L81" s="2" t="s">
        <v>2591</v>
      </c>
    </row>
    <row r="82" spans="1:10" s="2" customFormat="1" ht="13.5" customHeight="1">
      <c r="A82" s="408" t="s">
        <v>1733</v>
      </c>
      <c r="B82" s="408"/>
      <c r="C82" s="408"/>
      <c r="D82" s="408"/>
      <c r="E82" s="408"/>
      <c r="F82" s="408"/>
      <c r="G82" s="19">
        <v>197</v>
      </c>
      <c r="H82" s="20"/>
      <c r="I82" s="70">
        <f>IF(I77-I80&gt;0,I77-I80,0)</f>
        <v>0</v>
      </c>
      <c r="J82" s="70">
        <f>IF(J77-J80&gt;0,J77-J80,0)</f>
        <v>0</v>
      </c>
    </row>
    <row r="83" spans="1:10" s="2" customFormat="1" ht="13.5" customHeight="1">
      <c r="A83" s="425" t="s">
        <v>1847</v>
      </c>
      <c r="B83" s="425"/>
      <c r="C83" s="425"/>
      <c r="D83" s="425"/>
      <c r="E83" s="425"/>
      <c r="F83" s="425"/>
      <c r="G83" s="21">
        <v>198</v>
      </c>
      <c r="H83" s="22"/>
      <c r="I83" s="85">
        <f>IF(I77-I80&lt;0,I80-I77,0)</f>
        <v>0</v>
      </c>
      <c r="J83" s="85">
        <f>IF(J77-J80&lt;0,J80-J77,0)</f>
        <v>0</v>
      </c>
    </row>
    <row r="84" spans="1:10" s="2" customFormat="1" ht="15" customHeight="1">
      <c r="A84" s="404" t="s">
        <v>2852</v>
      </c>
      <c r="B84" s="404"/>
      <c r="C84" s="404"/>
      <c r="D84" s="404"/>
      <c r="E84" s="404"/>
      <c r="F84" s="404"/>
      <c r="G84" s="407"/>
      <c r="H84" s="407"/>
      <c r="I84" s="407"/>
      <c r="J84" s="407"/>
    </row>
    <row r="85" spans="1:12" s="2" customFormat="1" ht="13.5" customHeight="1">
      <c r="A85" s="413" t="s">
        <v>1101</v>
      </c>
      <c r="B85" s="413"/>
      <c r="C85" s="413"/>
      <c r="D85" s="413"/>
      <c r="E85" s="413"/>
      <c r="F85" s="413"/>
      <c r="G85" s="19">
        <v>199</v>
      </c>
      <c r="H85" s="20"/>
      <c r="I85" s="86">
        <f>SUM(I86:I87)</f>
        <v>0</v>
      </c>
      <c r="J85" s="86">
        <f>SUM(J86:J87)</f>
        <v>0</v>
      </c>
      <c r="L85" s="2" t="s">
        <v>2591</v>
      </c>
    </row>
    <row r="86" spans="1:12" s="2" customFormat="1" ht="13.5" customHeight="1">
      <c r="A86" s="410" t="s">
        <v>2061</v>
      </c>
      <c r="B86" s="410"/>
      <c r="C86" s="410"/>
      <c r="D86" s="410"/>
      <c r="E86" s="410"/>
      <c r="F86" s="410"/>
      <c r="G86" s="19">
        <v>200</v>
      </c>
      <c r="H86" s="20"/>
      <c r="I86" s="77"/>
      <c r="J86" s="77"/>
      <c r="L86" s="2" t="s">
        <v>2591</v>
      </c>
    </row>
    <row r="87" spans="1:12" s="2" customFormat="1" ht="13.5" customHeight="1">
      <c r="A87" s="411" t="s">
        <v>1102</v>
      </c>
      <c r="B87" s="411"/>
      <c r="C87" s="411"/>
      <c r="D87" s="411"/>
      <c r="E87" s="411"/>
      <c r="F87" s="411"/>
      <c r="G87" s="21">
        <v>201</v>
      </c>
      <c r="H87" s="22"/>
      <c r="I87" s="78"/>
      <c r="J87" s="78"/>
      <c r="L87" s="2" t="s">
        <v>2591</v>
      </c>
    </row>
    <row r="88" spans="1:10" s="2" customFormat="1" ht="15" customHeight="1">
      <c r="A88" s="415" t="s">
        <v>656</v>
      </c>
      <c r="B88" s="415"/>
      <c r="C88" s="415"/>
      <c r="D88" s="415"/>
      <c r="E88" s="415"/>
      <c r="F88" s="415"/>
      <c r="G88" s="416"/>
      <c r="H88" s="416"/>
      <c r="I88" s="416"/>
      <c r="J88" s="416"/>
    </row>
    <row r="89" spans="1:12" s="2" customFormat="1" ht="13.5" customHeight="1">
      <c r="A89" s="409" t="s">
        <v>1448</v>
      </c>
      <c r="B89" s="409"/>
      <c r="C89" s="409"/>
      <c r="D89" s="409"/>
      <c r="E89" s="409"/>
      <c r="F89" s="409"/>
      <c r="G89" s="19">
        <v>202</v>
      </c>
      <c r="H89" s="20"/>
      <c r="I89" s="77"/>
      <c r="J89" s="77"/>
      <c r="L89" s="2" t="s">
        <v>2591</v>
      </c>
    </row>
    <row r="90" spans="1:12" s="2" customFormat="1" ht="25.5" customHeight="1">
      <c r="A90" s="409" t="s">
        <v>1473</v>
      </c>
      <c r="B90" s="409"/>
      <c r="C90" s="409"/>
      <c r="D90" s="409"/>
      <c r="E90" s="409"/>
      <c r="F90" s="409"/>
      <c r="G90" s="19">
        <v>203</v>
      </c>
      <c r="H90" s="20"/>
      <c r="I90" s="86">
        <f>SUM(I91:I98)</f>
        <v>0</v>
      </c>
      <c r="J90" s="86">
        <f>SUM(J91:J98)</f>
        <v>0</v>
      </c>
      <c r="L90" s="2" t="s">
        <v>2591</v>
      </c>
    </row>
    <row r="91" spans="1:12" s="2" customFormat="1" ht="13.5" customHeight="1">
      <c r="A91" s="408" t="s">
        <v>2062</v>
      </c>
      <c r="B91" s="408"/>
      <c r="C91" s="408"/>
      <c r="D91" s="408"/>
      <c r="E91" s="408"/>
      <c r="F91" s="408"/>
      <c r="G91" s="19">
        <v>204</v>
      </c>
      <c r="H91" s="20"/>
      <c r="I91" s="77"/>
      <c r="J91" s="77"/>
      <c r="L91" s="2" t="s">
        <v>2591</v>
      </c>
    </row>
    <row r="92" spans="1:12" s="2" customFormat="1" ht="25.5" customHeight="1">
      <c r="A92" s="408" t="s">
        <v>2063</v>
      </c>
      <c r="B92" s="408"/>
      <c r="C92" s="408"/>
      <c r="D92" s="408"/>
      <c r="E92" s="408"/>
      <c r="F92" s="408"/>
      <c r="G92" s="19">
        <v>205</v>
      </c>
      <c r="H92" s="20"/>
      <c r="I92" s="77"/>
      <c r="J92" s="77"/>
      <c r="L92" s="2" t="s">
        <v>2591</v>
      </c>
    </row>
    <row r="93" spans="1:12" s="2" customFormat="1" ht="26.25" customHeight="1">
      <c r="A93" s="408" t="s">
        <v>2064</v>
      </c>
      <c r="B93" s="408"/>
      <c r="C93" s="408"/>
      <c r="D93" s="408"/>
      <c r="E93" s="408"/>
      <c r="F93" s="408"/>
      <c r="G93" s="19">
        <v>206</v>
      </c>
      <c r="H93" s="20"/>
      <c r="I93" s="77"/>
      <c r="J93" s="77"/>
      <c r="L93" s="2" t="s">
        <v>2591</v>
      </c>
    </row>
    <row r="94" spans="1:12" s="2" customFormat="1" ht="13.5" customHeight="1">
      <c r="A94" s="408" t="s">
        <v>2065</v>
      </c>
      <c r="B94" s="408"/>
      <c r="C94" s="408"/>
      <c r="D94" s="408"/>
      <c r="E94" s="408"/>
      <c r="F94" s="408"/>
      <c r="G94" s="19">
        <v>207</v>
      </c>
      <c r="H94" s="20"/>
      <c r="I94" s="77"/>
      <c r="J94" s="77"/>
      <c r="L94" s="2" t="s">
        <v>2591</v>
      </c>
    </row>
    <row r="95" spans="1:12" s="2" customFormat="1" ht="13.5" customHeight="1">
      <c r="A95" s="408" t="s">
        <v>2066</v>
      </c>
      <c r="B95" s="408"/>
      <c r="C95" s="408"/>
      <c r="D95" s="408"/>
      <c r="E95" s="408"/>
      <c r="F95" s="408"/>
      <c r="G95" s="19">
        <v>208</v>
      </c>
      <c r="H95" s="20"/>
      <c r="I95" s="77"/>
      <c r="J95" s="77"/>
      <c r="L95" s="2" t="s">
        <v>2591</v>
      </c>
    </row>
    <row r="96" spans="1:12" s="2" customFormat="1" ht="25.5" customHeight="1">
      <c r="A96" s="408" t="s">
        <v>2067</v>
      </c>
      <c r="B96" s="408"/>
      <c r="C96" s="408"/>
      <c r="D96" s="408"/>
      <c r="E96" s="408"/>
      <c r="F96" s="408"/>
      <c r="G96" s="19">
        <v>209</v>
      </c>
      <c r="H96" s="20"/>
      <c r="I96" s="77"/>
      <c r="J96" s="77"/>
      <c r="L96" s="2" t="s">
        <v>2591</v>
      </c>
    </row>
    <row r="97" spans="1:12" s="2" customFormat="1" ht="13.5" customHeight="1">
      <c r="A97" s="408" t="s">
        <v>759</v>
      </c>
      <c r="B97" s="408"/>
      <c r="C97" s="408"/>
      <c r="D97" s="408"/>
      <c r="E97" s="408"/>
      <c r="F97" s="408"/>
      <c r="G97" s="19">
        <v>210</v>
      </c>
      <c r="H97" s="20"/>
      <c r="I97" s="77"/>
      <c r="J97" s="77"/>
      <c r="L97" s="2" t="s">
        <v>2591</v>
      </c>
    </row>
    <row r="98" spans="1:12" s="2" customFormat="1" ht="13.5" customHeight="1">
      <c r="A98" s="408" t="s">
        <v>1449</v>
      </c>
      <c r="B98" s="408"/>
      <c r="C98" s="408"/>
      <c r="D98" s="408"/>
      <c r="E98" s="408"/>
      <c r="F98" s="408"/>
      <c r="G98" s="19">
        <v>211</v>
      </c>
      <c r="H98" s="20"/>
      <c r="I98" s="77"/>
      <c r="J98" s="77"/>
      <c r="L98" s="2" t="s">
        <v>2591</v>
      </c>
    </row>
    <row r="99" spans="1:12" s="2" customFormat="1" ht="13.5" customHeight="1">
      <c r="A99" s="409" t="s">
        <v>2621</v>
      </c>
      <c r="B99" s="409"/>
      <c r="C99" s="409"/>
      <c r="D99" s="409"/>
      <c r="E99" s="409"/>
      <c r="F99" s="409"/>
      <c r="G99" s="19">
        <v>212</v>
      </c>
      <c r="H99" s="20"/>
      <c r="I99" s="77"/>
      <c r="J99" s="77"/>
      <c r="L99" s="2" t="s">
        <v>2591</v>
      </c>
    </row>
    <row r="100" spans="1:12" s="2" customFormat="1" ht="15" customHeight="1">
      <c r="A100" s="409" t="s">
        <v>1474</v>
      </c>
      <c r="B100" s="409"/>
      <c r="C100" s="409"/>
      <c r="D100" s="409"/>
      <c r="E100" s="409"/>
      <c r="F100" s="409"/>
      <c r="G100" s="19">
        <v>213</v>
      </c>
      <c r="H100" s="20"/>
      <c r="I100" s="86">
        <f>I90-I99</f>
        <v>0</v>
      </c>
      <c r="J100" s="86">
        <f>J90-J99</f>
        <v>0</v>
      </c>
      <c r="L100" s="2" t="s">
        <v>2591</v>
      </c>
    </row>
    <row r="101" spans="1:12" s="2" customFormat="1" ht="13.5" customHeight="1">
      <c r="A101" s="412" t="s">
        <v>1475</v>
      </c>
      <c r="B101" s="412"/>
      <c r="C101" s="412"/>
      <c r="D101" s="412"/>
      <c r="E101" s="412"/>
      <c r="F101" s="412"/>
      <c r="G101" s="21">
        <v>214</v>
      </c>
      <c r="H101" s="22"/>
      <c r="I101" s="87">
        <f>I89+I100</f>
        <v>0</v>
      </c>
      <c r="J101" s="87">
        <f>J89+J100</f>
        <v>0</v>
      </c>
      <c r="L101" s="2" t="s">
        <v>2591</v>
      </c>
    </row>
    <row r="102" spans="1:10" s="2" customFormat="1" ht="15" customHeight="1">
      <c r="A102" s="404" t="s">
        <v>1565</v>
      </c>
      <c r="B102" s="404"/>
      <c r="C102" s="404"/>
      <c r="D102" s="404"/>
      <c r="E102" s="404"/>
      <c r="F102" s="404"/>
      <c r="G102" s="407"/>
      <c r="H102" s="407"/>
      <c r="I102" s="407"/>
      <c r="J102" s="407"/>
    </row>
    <row r="103" spans="1:12" s="2" customFormat="1" ht="13.5" customHeight="1">
      <c r="A103" s="413" t="s">
        <v>1848</v>
      </c>
      <c r="B103" s="413"/>
      <c r="C103" s="413"/>
      <c r="D103" s="413"/>
      <c r="E103" s="413"/>
      <c r="F103" s="413"/>
      <c r="G103" s="19">
        <v>215</v>
      </c>
      <c r="H103" s="20"/>
      <c r="I103" s="86">
        <f>SUM(I104:I105)</f>
        <v>0</v>
      </c>
      <c r="J103" s="86">
        <f>SUM(J104:J105)</f>
        <v>0</v>
      </c>
      <c r="L103" s="2" t="s">
        <v>2591</v>
      </c>
    </row>
    <row r="104" spans="1:12" s="2" customFormat="1" ht="13.5" customHeight="1">
      <c r="A104" s="410" t="s">
        <v>2622</v>
      </c>
      <c r="B104" s="410"/>
      <c r="C104" s="410"/>
      <c r="D104" s="410"/>
      <c r="E104" s="410"/>
      <c r="F104" s="410"/>
      <c r="G104" s="19">
        <v>216</v>
      </c>
      <c r="H104" s="20"/>
      <c r="I104" s="77"/>
      <c r="J104" s="77"/>
      <c r="L104" s="2" t="s">
        <v>2591</v>
      </c>
    </row>
    <row r="105" spans="1:12" s="2" customFormat="1" ht="13.5" customHeight="1">
      <c r="A105" s="411" t="s">
        <v>1450</v>
      </c>
      <c r="B105" s="411"/>
      <c r="C105" s="411"/>
      <c r="D105" s="411"/>
      <c r="E105" s="411"/>
      <c r="F105" s="411"/>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5" activePane="bottomLeft" state="frozen"/>
      <selection pane="topLeft" activeCell="A1" sqref="A1"/>
      <selection pane="bottomLeft" activeCell="I89" sqref="I89"/>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7" t="s">
        <v>568</v>
      </c>
      <c r="B2" s="448"/>
      <c r="C2" s="448"/>
      <c r="D2" s="448"/>
      <c r="E2" s="448"/>
      <c r="F2" s="448"/>
      <c r="G2" s="448"/>
      <c r="H2" s="448"/>
      <c r="I2" s="449"/>
      <c r="J2" s="389" t="s">
        <v>2593</v>
      </c>
      <c r="Q2" s="74">
        <f>IF(MAX(I9:I88)&gt;0,1,0)</f>
        <v>0</v>
      </c>
      <c r="R2" s="73" t="s">
        <v>2586</v>
      </c>
    </row>
    <row r="3" spans="1:18" s="2" customFormat="1" ht="19.5" customHeight="1" thickBot="1">
      <c r="A3" s="450" t="str">
        <f>"za razdoblje "&amp;IF(RefStr!C4&lt;&gt;"",TEXT(RefStr!C4,"DD.MM.YYYY."),"__.__.____.")&amp;" do "&amp;IF(RefStr!F4&lt;&gt;"",TEXT(RefStr!F4,"DD.MM.YYYY."),"__.__.____.")</f>
        <v>za razdoblje 01.01.2017. do 31.12.2017.</v>
      </c>
      <c r="B3" s="451"/>
      <c r="C3" s="451"/>
      <c r="D3" s="451"/>
      <c r="E3" s="451"/>
      <c r="F3" s="451"/>
      <c r="G3" s="451"/>
      <c r="H3" s="451"/>
      <c r="I3" s="452"/>
      <c r="J3" s="437"/>
      <c r="Q3" s="74">
        <f>IF(MAX(J9:J88)&gt;0,1,0)</f>
        <v>0</v>
      </c>
      <c r="R3" s="73" t="s">
        <v>2587</v>
      </c>
    </row>
    <row r="4" spans="1:10" s="2" customFormat="1" ht="4.5" customHeight="1">
      <c r="A4" s="116"/>
      <c r="B4" s="89"/>
      <c r="C4" s="89"/>
      <c r="D4" s="89"/>
      <c r="E4" s="89"/>
      <c r="F4" s="89"/>
      <c r="G4" s="89"/>
      <c r="H4" s="89"/>
      <c r="I4" s="90"/>
      <c r="J4" s="91"/>
    </row>
    <row r="5" spans="1:10" s="2" customFormat="1" ht="15" customHeight="1">
      <c r="A5" s="441" t="str">
        <f>"Obveznik: "&amp;IF(RefStr!C27&lt;&gt;"",RefStr!C27,"________")&amp;"; "&amp;IF(RefStr!C29&lt;&gt;"",RefStr!C29,"________________________________________________________"&amp;"; "&amp;IF(RefStr!F31&lt;&gt;"",RefStr!F31,"_______________"))</f>
        <v>Obveznik: 77317840351; VODOVOD d.o.o.</v>
      </c>
      <c r="B5" s="442"/>
      <c r="C5" s="442"/>
      <c r="D5" s="442"/>
      <c r="E5" s="442"/>
      <c r="F5" s="442"/>
      <c r="G5" s="442"/>
      <c r="H5" s="442"/>
      <c r="I5" s="442"/>
      <c r="J5" s="443"/>
    </row>
    <row r="6" spans="1:10" s="2" customFormat="1" ht="24.75" customHeight="1" thickBot="1">
      <c r="A6" s="444" t="s">
        <v>719</v>
      </c>
      <c r="B6" s="445"/>
      <c r="C6" s="445"/>
      <c r="D6" s="445"/>
      <c r="E6" s="445"/>
      <c r="F6" s="445"/>
      <c r="G6" s="446"/>
      <c r="H6" s="107" t="s">
        <v>799</v>
      </c>
      <c r="I6" s="107" t="s">
        <v>459</v>
      </c>
      <c r="J6" s="108" t="s">
        <v>460</v>
      </c>
    </row>
    <row r="7" spans="1:10" s="2" customFormat="1" ht="12">
      <c r="A7" s="438">
        <v>1</v>
      </c>
      <c r="B7" s="439"/>
      <c r="C7" s="439"/>
      <c r="D7" s="439"/>
      <c r="E7" s="439"/>
      <c r="F7" s="439"/>
      <c r="G7" s="440"/>
      <c r="H7" s="111">
        <v>2</v>
      </c>
      <c r="I7" s="110">
        <v>3</v>
      </c>
      <c r="J7" s="112">
        <v>4</v>
      </c>
    </row>
    <row r="8" spans="1:10" s="2" customFormat="1" ht="13.5" customHeight="1">
      <c r="A8" s="426" t="s">
        <v>263</v>
      </c>
      <c r="B8" s="427"/>
      <c r="C8" s="427"/>
      <c r="D8" s="427"/>
      <c r="E8" s="427"/>
      <c r="F8" s="427"/>
      <c r="G8" s="427"/>
      <c r="H8" s="427"/>
      <c r="I8" s="427"/>
      <c r="J8" s="428"/>
    </row>
    <row r="9" spans="1:10" s="2" customFormat="1" ht="13.5" customHeight="1">
      <c r="A9" s="429" t="s">
        <v>262</v>
      </c>
      <c r="B9" s="429"/>
      <c r="C9" s="429"/>
      <c r="D9" s="429"/>
      <c r="E9" s="429"/>
      <c r="F9" s="429"/>
      <c r="G9" s="430"/>
      <c r="H9" s="92">
        <v>218</v>
      </c>
      <c r="I9" s="93"/>
      <c r="J9" s="93"/>
    </row>
    <row r="10" spans="1:10" s="2" customFormat="1" ht="13.5" customHeight="1">
      <c r="A10" s="408" t="s">
        <v>261</v>
      </c>
      <c r="B10" s="408"/>
      <c r="C10" s="408"/>
      <c r="D10" s="408"/>
      <c r="E10" s="408"/>
      <c r="F10" s="408"/>
      <c r="G10" s="408"/>
      <c r="H10" s="19">
        <v>219</v>
      </c>
      <c r="I10" s="77"/>
      <c r="J10" s="77"/>
    </row>
    <row r="11" spans="1:10" s="2" customFormat="1" ht="13.5" customHeight="1">
      <c r="A11" s="408" t="s">
        <v>769</v>
      </c>
      <c r="B11" s="408"/>
      <c r="C11" s="408"/>
      <c r="D11" s="408"/>
      <c r="E11" s="408"/>
      <c r="F11" s="408"/>
      <c r="G11" s="408"/>
      <c r="H11" s="19">
        <v>220</v>
      </c>
      <c r="I11" s="77"/>
      <c r="J11" s="77"/>
    </row>
    <row r="12" spans="1:10" s="2" customFormat="1" ht="13.5" customHeight="1">
      <c r="A12" s="408" t="s">
        <v>768</v>
      </c>
      <c r="B12" s="408"/>
      <c r="C12" s="408"/>
      <c r="D12" s="408"/>
      <c r="E12" s="408"/>
      <c r="F12" s="408"/>
      <c r="G12" s="408"/>
      <c r="H12" s="19">
        <v>221</v>
      </c>
      <c r="I12" s="77"/>
      <c r="J12" s="77"/>
    </row>
    <row r="13" spans="1:10" s="2" customFormat="1" ht="13.5" customHeight="1">
      <c r="A13" s="408" t="s">
        <v>767</v>
      </c>
      <c r="B13" s="408"/>
      <c r="C13" s="408"/>
      <c r="D13" s="408"/>
      <c r="E13" s="408"/>
      <c r="F13" s="408"/>
      <c r="G13" s="408"/>
      <c r="H13" s="19">
        <v>222</v>
      </c>
      <c r="I13" s="77"/>
      <c r="J13" s="77"/>
    </row>
    <row r="14" spans="1:10" s="2" customFormat="1" ht="13.5" customHeight="1">
      <c r="A14" s="408" t="s">
        <v>766</v>
      </c>
      <c r="B14" s="408"/>
      <c r="C14" s="408"/>
      <c r="D14" s="408"/>
      <c r="E14" s="408"/>
      <c r="F14" s="408"/>
      <c r="G14" s="408"/>
      <c r="H14" s="19">
        <v>223</v>
      </c>
      <c r="I14" s="77"/>
      <c r="J14" s="77"/>
    </row>
    <row r="15" spans="1:10" s="2" customFormat="1" ht="13.5" customHeight="1">
      <c r="A15" s="425" t="s">
        <v>765</v>
      </c>
      <c r="B15" s="425"/>
      <c r="C15" s="425"/>
      <c r="D15" s="425"/>
      <c r="E15" s="425"/>
      <c r="F15" s="425"/>
      <c r="G15" s="425"/>
      <c r="H15" s="21">
        <v>224</v>
      </c>
      <c r="I15" s="78"/>
      <c r="J15" s="78"/>
    </row>
    <row r="16" spans="1:10" s="2" customFormat="1" ht="13.5" customHeight="1">
      <c r="A16" s="426" t="s">
        <v>264</v>
      </c>
      <c r="B16" s="427"/>
      <c r="C16" s="427"/>
      <c r="D16" s="427"/>
      <c r="E16" s="427"/>
      <c r="F16" s="427"/>
      <c r="G16" s="427"/>
      <c r="H16" s="427"/>
      <c r="I16" s="427"/>
      <c r="J16" s="428"/>
    </row>
    <row r="17" spans="1:10" s="2" customFormat="1" ht="13.5" customHeight="1">
      <c r="A17" s="429" t="s">
        <v>763</v>
      </c>
      <c r="B17" s="429"/>
      <c r="C17" s="429"/>
      <c r="D17" s="429"/>
      <c r="E17" s="429"/>
      <c r="F17" s="429"/>
      <c r="G17" s="430"/>
      <c r="H17" s="92">
        <v>225</v>
      </c>
      <c r="I17" s="94"/>
      <c r="J17" s="94"/>
    </row>
    <row r="18" spans="1:10" s="2" customFormat="1" ht="13.5" customHeight="1">
      <c r="A18" s="408" t="s">
        <v>764</v>
      </c>
      <c r="B18" s="408"/>
      <c r="C18" s="408"/>
      <c r="D18" s="408"/>
      <c r="E18" s="408"/>
      <c r="F18" s="408"/>
      <c r="G18" s="431"/>
      <c r="H18" s="19">
        <v>226</v>
      </c>
      <c r="I18" s="77"/>
      <c r="J18" s="77"/>
    </row>
    <row r="19" spans="1:10" s="2" customFormat="1" ht="13.5" customHeight="1">
      <c r="A19" s="408" t="s">
        <v>760</v>
      </c>
      <c r="B19" s="408"/>
      <c r="C19" s="408"/>
      <c r="D19" s="408"/>
      <c r="E19" s="408"/>
      <c r="F19" s="408"/>
      <c r="G19" s="431"/>
      <c r="H19" s="19">
        <v>227</v>
      </c>
      <c r="I19" s="77"/>
      <c r="J19" s="77"/>
    </row>
    <row r="20" spans="1:10" s="2" customFormat="1" ht="13.5" customHeight="1">
      <c r="A20" s="408" t="s">
        <v>761</v>
      </c>
      <c r="B20" s="408"/>
      <c r="C20" s="408"/>
      <c r="D20" s="408"/>
      <c r="E20" s="408"/>
      <c r="F20" s="408"/>
      <c r="G20" s="431"/>
      <c r="H20" s="19">
        <v>228</v>
      </c>
      <c r="I20" s="77"/>
      <c r="J20" s="77"/>
    </row>
    <row r="21" spans="1:10" s="2" customFormat="1" ht="13.5" customHeight="1">
      <c r="A21" s="425" t="s">
        <v>762</v>
      </c>
      <c r="B21" s="425"/>
      <c r="C21" s="425"/>
      <c r="D21" s="425"/>
      <c r="E21" s="425"/>
      <c r="F21" s="425"/>
      <c r="G21" s="434"/>
      <c r="H21" s="21">
        <v>229</v>
      </c>
      <c r="I21" s="78"/>
      <c r="J21" s="78"/>
    </row>
    <row r="22" spans="1:10" s="2" customFormat="1" ht="13.5" customHeight="1">
      <c r="A22" s="426" t="s">
        <v>265</v>
      </c>
      <c r="B22" s="427"/>
      <c r="C22" s="427"/>
      <c r="D22" s="427"/>
      <c r="E22" s="427"/>
      <c r="F22" s="427"/>
      <c r="G22" s="427"/>
      <c r="H22" s="427"/>
      <c r="I22" s="427"/>
      <c r="J22" s="428"/>
    </row>
    <row r="23" spans="1:10" s="2" customFormat="1" ht="13.5" customHeight="1">
      <c r="A23" s="432" t="s">
        <v>2900</v>
      </c>
      <c r="B23" s="432"/>
      <c r="C23" s="432"/>
      <c r="D23" s="432"/>
      <c r="E23" s="432"/>
      <c r="F23" s="432"/>
      <c r="G23" s="433"/>
      <c r="H23" s="95">
        <v>230</v>
      </c>
      <c r="I23" s="96"/>
      <c r="J23" s="96"/>
    </row>
    <row r="24" spans="1:10" s="2" customFormat="1" ht="13.5" customHeight="1">
      <c r="A24" s="426" t="s">
        <v>266</v>
      </c>
      <c r="B24" s="427"/>
      <c r="C24" s="427"/>
      <c r="D24" s="427"/>
      <c r="E24" s="427"/>
      <c r="F24" s="427"/>
      <c r="G24" s="427"/>
      <c r="H24" s="427"/>
      <c r="I24" s="427"/>
      <c r="J24" s="428"/>
    </row>
    <row r="25" spans="1:10" s="2" customFormat="1" ht="13.5" customHeight="1">
      <c r="A25" s="429" t="s">
        <v>2901</v>
      </c>
      <c r="B25" s="429"/>
      <c r="C25" s="429"/>
      <c r="D25" s="429"/>
      <c r="E25" s="429"/>
      <c r="F25" s="429"/>
      <c r="G25" s="430"/>
      <c r="H25" s="92">
        <v>231</v>
      </c>
      <c r="I25" s="94"/>
      <c r="J25" s="94"/>
    </row>
    <row r="26" spans="1:10" s="2" customFormat="1" ht="24.75" customHeight="1">
      <c r="A26" s="408" t="s">
        <v>2215</v>
      </c>
      <c r="B26" s="408"/>
      <c r="C26" s="408"/>
      <c r="D26" s="408"/>
      <c r="E26" s="408"/>
      <c r="F26" s="408"/>
      <c r="G26" s="431"/>
      <c r="H26" s="19">
        <v>232</v>
      </c>
      <c r="I26" s="77"/>
      <c r="J26" s="77"/>
    </row>
    <row r="27" spans="1:10" s="2" customFormat="1" ht="13.5" customHeight="1">
      <c r="A27" s="408" t="s">
        <v>267</v>
      </c>
      <c r="B27" s="408"/>
      <c r="C27" s="408"/>
      <c r="D27" s="408"/>
      <c r="E27" s="408"/>
      <c r="F27" s="408"/>
      <c r="G27" s="431"/>
      <c r="H27" s="19">
        <v>233</v>
      </c>
      <c r="I27" s="77"/>
      <c r="J27" s="77"/>
    </row>
    <row r="28" spans="1:10" s="2" customFormat="1" ht="13.5" customHeight="1">
      <c r="A28" s="408" t="s">
        <v>268</v>
      </c>
      <c r="B28" s="408"/>
      <c r="C28" s="408"/>
      <c r="D28" s="408"/>
      <c r="E28" s="408"/>
      <c r="F28" s="408"/>
      <c r="G28" s="431"/>
      <c r="H28" s="19">
        <v>234</v>
      </c>
      <c r="I28" s="77"/>
      <c r="J28" s="77"/>
    </row>
    <row r="29" spans="1:10" s="2" customFormat="1" ht="13.5" customHeight="1">
      <c r="A29" s="408" t="s">
        <v>269</v>
      </c>
      <c r="B29" s="408"/>
      <c r="C29" s="408"/>
      <c r="D29" s="408"/>
      <c r="E29" s="408"/>
      <c r="F29" s="408"/>
      <c r="G29" s="431"/>
      <c r="H29" s="19">
        <v>235</v>
      </c>
      <c r="I29" s="77"/>
      <c r="J29" s="77"/>
    </row>
    <row r="30" spans="1:10" s="2" customFormat="1" ht="13.5" customHeight="1">
      <c r="A30" s="408" t="s">
        <v>270</v>
      </c>
      <c r="B30" s="408"/>
      <c r="C30" s="408"/>
      <c r="D30" s="408"/>
      <c r="E30" s="408"/>
      <c r="F30" s="408"/>
      <c r="G30" s="431"/>
      <c r="H30" s="19">
        <v>236</v>
      </c>
      <c r="I30" s="77"/>
      <c r="J30" s="77"/>
    </row>
    <row r="31" spans="1:10" s="2" customFormat="1" ht="13.5" customHeight="1">
      <c r="A31" s="408" t="s">
        <v>271</v>
      </c>
      <c r="B31" s="408"/>
      <c r="C31" s="408"/>
      <c r="D31" s="408"/>
      <c r="E31" s="408"/>
      <c r="F31" s="408"/>
      <c r="G31" s="431"/>
      <c r="H31" s="19">
        <v>237</v>
      </c>
      <c r="I31" s="77"/>
      <c r="J31" s="77"/>
    </row>
    <row r="32" spans="1:10" s="2" customFormat="1" ht="13.5" customHeight="1">
      <c r="A32" s="408" t="s">
        <v>272</v>
      </c>
      <c r="B32" s="408"/>
      <c r="C32" s="408"/>
      <c r="D32" s="408"/>
      <c r="E32" s="408"/>
      <c r="F32" s="408"/>
      <c r="G32" s="431"/>
      <c r="H32" s="19">
        <v>238</v>
      </c>
      <c r="I32" s="77"/>
      <c r="J32" s="77"/>
    </row>
    <row r="33" spans="1:10" s="2" customFormat="1" ht="24.75" customHeight="1">
      <c r="A33" s="408" t="s">
        <v>2216</v>
      </c>
      <c r="B33" s="408"/>
      <c r="C33" s="408"/>
      <c r="D33" s="408"/>
      <c r="E33" s="408"/>
      <c r="F33" s="408"/>
      <c r="G33" s="431"/>
      <c r="H33" s="19">
        <v>239</v>
      </c>
      <c r="I33" s="77"/>
      <c r="J33" s="77"/>
    </row>
    <row r="34" spans="1:10" s="2" customFormat="1" ht="36" customHeight="1">
      <c r="A34" s="408" t="s">
        <v>2217</v>
      </c>
      <c r="B34" s="408"/>
      <c r="C34" s="408"/>
      <c r="D34" s="408"/>
      <c r="E34" s="408"/>
      <c r="F34" s="408"/>
      <c r="G34" s="431"/>
      <c r="H34" s="19">
        <v>240</v>
      </c>
      <c r="I34" s="77"/>
      <c r="J34" s="77"/>
    </row>
    <row r="35" spans="1:10" s="2" customFormat="1" ht="36" customHeight="1">
      <c r="A35" s="425" t="s">
        <v>273</v>
      </c>
      <c r="B35" s="425"/>
      <c r="C35" s="425"/>
      <c r="D35" s="425"/>
      <c r="E35" s="425"/>
      <c r="F35" s="425"/>
      <c r="G35" s="434"/>
      <c r="H35" s="21">
        <v>241</v>
      </c>
      <c r="I35" s="78"/>
      <c r="J35" s="78"/>
    </row>
    <row r="36" spans="1:10" s="2" customFormat="1" ht="13.5" customHeight="1">
      <c r="A36" s="426" t="s">
        <v>274</v>
      </c>
      <c r="B36" s="427"/>
      <c r="C36" s="427"/>
      <c r="D36" s="427"/>
      <c r="E36" s="427"/>
      <c r="F36" s="427"/>
      <c r="G36" s="427"/>
      <c r="H36" s="427"/>
      <c r="I36" s="427"/>
      <c r="J36" s="428"/>
    </row>
    <row r="37" spans="1:10" s="2" customFormat="1" ht="13.5" customHeight="1">
      <c r="A37" s="429" t="s">
        <v>240</v>
      </c>
      <c r="B37" s="429"/>
      <c r="C37" s="429"/>
      <c r="D37" s="429"/>
      <c r="E37" s="429"/>
      <c r="F37" s="429"/>
      <c r="G37" s="430"/>
      <c r="H37" s="92">
        <v>242</v>
      </c>
      <c r="I37" s="94"/>
      <c r="J37" s="94"/>
    </row>
    <row r="38" spans="1:10" s="2" customFormat="1" ht="13.5" customHeight="1">
      <c r="A38" s="425" t="s">
        <v>241</v>
      </c>
      <c r="B38" s="425"/>
      <c r="C38" s="425"/>
      <c r="D38" s="425"/>
      <c r="E38" s="425"/>
      <c r="F38" s="425"/>
      <c r="G38" s="434"/>
      <c r="H38" s="21">
        <v>243</v>
      </c>
      <c r="I38" s="78"/>
      <c r="J38" s="78"/>
    </row>
    <row r="39" spans="1:10" s="2" customFormat="1" ht="13.5" customHeight="1">
      <c r="A39" s="426" t="s">
        <v>275</v>
      </c>
      <c r="B39" s="427"/>
      <c r="C39" s="427"/>
      <c r="D39" s="427"/>
      <c r="E39" s="427"/>
      <c r="F39" s="427"/>
      <c r="G39" s="427"/>
      <c r="H39" s="427"/>
      <c r="I39" s="427"/>
      <c r="J39" s="428"/>
    </row>
    <row r="40" spans="1:10" s="2" customFormat="1" ht="13.5" customHeight="1">
      <c r="A40" s="432" t="s">
        <v>2902</v>
      </c>
      <c r="B40" s="432"/>
      <c r="C40" s="432"/>
      <c r="D40" s="432"/>
      <c r="E40" s="432"/>
      <c r="F40" s="432"/>
      <c r="G40" s="433"/>
      <c r="H40" s="95">
        <v>244</v>
      </c>
      <c r="I40" s="96"/>
      <c r="J40" s="96"/>
    </row>
    <row r="41" spans="1:10" s="2" customFormat="1" ht="13.5" customHeight="1">
      <c r="A41" s="426" t="s">
        <v>276</v>
      </c>
      <c r="B41" s="427"/>
      <c r="C41" s="427"/>
      <c r="D41" s="427"/>
      <c r="E41" s="427"/>
      <c r="F41" s="427"/>
      <c r="G41" s="427"/>
      <c r="H41" s="427"/>
      <c r="I41" s="427"/>
      <c r="J41" s="428"/>
    </row>
    <row r="42" spans="1:10" s="2" customFormat="1" ht="24.75" customHeight="1">
      <c r="A42" s="429" t="s">
        <v>2218</v>
      </c>
      <c r="B42" s="429"/>
      <c r="C42" s="429"/>
      <c r="D42" s="429"/>
      <c r="E42" s="429"/>
      <c r="F42" s="429"/>
      <c r="G42" s="430"/>
      <c r="H42" s="92">
        <v>245</v>
      </c>
      <c r="I42" s="94"/>
      <c r="J42" s="94"/>
    </row>
    <row r="43" spans="1:10" s="2" customFormat="1" ht="13.5" customHeight="1">
      <c r="A43" s="408" t="s">
        <v>277</v>
      </c>
      <c r="B43" s="408"/>
      <c r="C43" s="408"/>
      <c r="D43" s="408"/>
      <c r="E43" s="408"/>
      <c r="F43" s="408"/>
      <c r="G43" s="431"/>
      <c r="H43" s="19">
        <v>246</v>
      </c>
      <c r="I43" s="77"/>
      <c r="J43" s="77"/>
    </row>
    <row r="44" spans="1:10" s="2" customFormat="1" ht="13.5" customHeight="1">
      <c r="A44" s="435" t="s">
        <v>280</v>
      </c>
      <c r="B44" s="435"/>
      <c r="C44" s="435"/>
      <c r="D44" s="435"/>
      <c r="E44" s="435"/>
      <c r="F44" s="435"/>
      <c r="G44" s="436"/>
      <c r="H44" s="19">
        <v>247</v>
      </c>
      <c r="I44" s="77"/>
      <c r="J44" s="77"/>
    </row>
    <row r="45" spans="1:10" s="2" customFormat="1" ht="13.5" customHeight="1">
      <c r="A45" s="408" t="s">
        <v>278</v>
      </c>
      <c r="B45" s="408"/>
      <c r="C45" s="408"/>
      <c r="D45" s="408"/>
      <c r="E45" s="408"/>
      <c r="F45" s="408"/>
      <c r="G45" s="431"/>
      <c r="H45" s="19">
        <v>248</v>
      </c>
      <c r="I45" s="77"/>
      <c r="J45" s="77"/>
    </row>
    <row r="46" spans="1:10" s="2" customFormat="1" ht="24.75" customHeight="1">
      <c r="A46" s="408" t="s">
        <v>281</v>
      </c>
      <c r="B46" s="408"/>
      <c r="C46" s="408"/>
      <c r="D46" s="408"/>
      <c r="E46" s="408"/>
      <c r="F46" s="408"/>
      <c r="G46" s="431"/>
      <c r="H46" s="19">
        <v>249</v>
      </c>
      <c r="I46" s="77"/>
      <c r="J46" s="77"/>
    </row>
    <row r="47" spans="1:10" s="2" customFormat="1" ht="13.5" customHeight="1">
      <c r="A47" s="425" t="s">
        <v>279</v>
      </c>
      <c r="B47" s="425"/>
      <c r="C47" s="425"/>
      <c r="D47" s="425"/>
      <c r="E47" s="425"/>
      <c r="F47" s="425"/>
      <c r="G47" s="434"/>
      <c r="H47" s="21">
        <v>250</v>
      </c>
      <c r="I47" s="78"/>
      <c r="J47" s="78"/>
    </row>
    <row r="48" spans="1:10" s="2" customFormat="1" ht="13.5" customHeight="1">
      <c r="A48" s="426" t="s">
        <v>282</v>
      </c>
      <c r="B48" s="427"/>
      <c r="C48" s="427"/>
      <c r="D48" s="427"/>
      <c r="E48" s="427"/>
      <c r="F48" s="427"/>
      <c r="G48" s="427"/>
      <c r="H48" s="427"/>
      <c r="I48" s="427"/>
      <c r="J48" s="428"/>
    </row>
    <row r="49" spans="1:10" s="2" customFormat="1" ht="13.5" customHeight="1">
      <c r="A49" s="429" t="s">
        <v>284</v>
      </c>
      <c r="B49" s="429"/>
      <c r="C49" s="429"/>
      <c r="D49" s="429"/>
      <c r="E49" s="429"/>
      <c r="F49" s="429"/>
      <c r="G49" s="430"/>
      <c r="H49" s="92">
        <v>251</v>
      </c>
      <c r="I49" s="94"/>
      <c r="J49" s="94"/>
    </row>
    <row r="50" spans="1:10" s="2" customFormat="1" ht="13.5" customHeight="1">
      <c r="A50" s="408" t="s">
        <v>285</v>
      </c>
      <c r="B50" s="408"/>
      <c r="C50" s="408"/>
      <c r="D50" s="408"/>
      <c r="E50" s="408"/>
      <c r="F50" s="408"/>
      <c r="G50" s="431"/>
      <c r="H50" s="19">
        <v>252</v>
      </c>
      <c r="I50" s="77"/>
      <c r="J50" s="77"/>
    </row>
    <row r="51" spans="1:10" s="2" customFormat="1" ht="24.75" customHeight="1">
      <c r="A51" s="408" t="s">
        <v>2219</v>
      </c>
      <c r="B51" s="408"/>
      <c r="C51" s="408"/>
      <c r="D51" s="408"/>
      <c r="E51" s="408"/>
      <c r="F51" s="408"/>
      <c r="G51" s="431"/>
      <c r="H51" s="19">
        <v>253</v>
      </c>
      <c r="I51" s="77"/>
      <c r="J51" s="77"/>
    </row>
    <row r="52" spans="1:10" s="2" customFormat="1" ht="24.75" customHeight="1">
      <c r="A52" s="408" t="s">
        <v>2443</v>
      </c>
      <c r="B52" s="408"/>
      <c r="C52" s="408"/>
      <c r="D52" s="408"/>
      <c r="E52" s="408"/>
      <c r="F52" s="408"/>
      <c r="G52" s="431"/>
      <c r="H52" s="19">
        <v>254</v>
      </c>
      <c r="I52" s="77"/>
      <c r="J52" s="77"/>
    </row>
    <row r="53" spans="1:10" s="2" customFormat="1" ht="13.5" customHeight="1">
      <c r="A53" s="408" t="s">
        <v>286</v>
      </c>
      <c r="B53" s="408"/>
      <c r="C53" s="408"/>
      <c r="D53" s="408"/>
      <c r="E53" s="408"/>
      <c r="F53" s="408"/>
      <c r="G53" s="431"/>
      <c r="H53" s="19">
        <v>255</v>
      </c>
      <c r="I53" s="77"/>
      <c r="J53" s="77"/>
    </row>
    <row r="54" spans="1:10" s="2" customFormat="1" ht="13.5" customHeight="1">
      <c r="A54" s="408" t="s">
        <v>287</v>
      </c>
      <c r="B54" s="408"/>
      <c r="C54" s="408"/>
      <c r="D54" s="408"/>
      <c r="E54" s="408"/>
      <c r="F54" s="408"/>
      <c r="G54" s="431"/>
      <c r="H54" s="19">
        <v>256</v>
      </c>
      <c r="I54" s="77"/>
      <c r="J54" s="77"/>
    </row>
    <row r="55" spans="1:10" s="2" customFormat="1" ht="13.5" customHeight="1">
      <c r="A55" s="408" t="s">
        <v>2434</v>
      </c>
      <c r="B55" s="408"/>
      <c r="C55" s="408"/>
      <c r="D55" s="408"/>
      <c r="E55" s="408"/>
      <c r="F55" s="408"/>
      <c r="G55" s="431"/>
      <c r="H55" s="19">
        <v>257</v>
      </c>
      <c r="I55" s="77"/>
      <c r="J55" s="77"/>
    </row>
    <row r="56" spans="1:10" s="2" customFormat="1" ht="13.5" customHeight="1">
      <c r="A56" s="408" t="s">
        <v>2435</v>
      </c>
      <c r="B56" s="408"/>
      <c r="C56" s="408"/>
      <c r="D56" s="408"/>
      <c r="E56" s="408"/>
      <c r="F56" s="408"/>
      <c r="G56" s="431"/>
      <c r="H56" s="19">
        <v>258</v>
      </c>
      <c r="I56" s="77"/>
      <c r="J56" s="77"/>
    </row>
    <row r="57" spans="1:10" s="2" customFormat="1" ht="25.5" customHeight="1">
      <c r="A57" s="408" t="s">
        <v>2444</v>
      </c>
      <c r="B57" s="408"/>
      <c r="C57" s="408"/>
      <c r="D57" s="408"/>
      <c r="E57" s="408"/>
      <c r="F57" s="408"/>
      <c r="G57" s="431"/>
      <c r="H57" s="19">
        <v>259</v>
      </c>
      <c r="I57" s="77"/>
      <c r="J57" s="77"/>
    </row>
    <row r="58" spans="1:10" s="2" customFormat="1" ht="13.5" customHeight="1">
      <c r="A58" s="408" t="s">
        <v>2436</v>
      </c>
      <c r="B58" s="408"/>
      <c r="C58" s="408"/>
      <c r="D58" s="408"/>
      <c r="E58" s="408"/>
      <c r="F58" s="408"/>
      <c r="G58" s="431"/>
      <c r="H58" s="19">
        <v>260</v>
      </c>
      <c r="I58" s="77"/>
      <c r="J58" s="77"/>
    </row>
    <row r="59" spans="1:10" s="2" customFormat="1" ht="13.5" customHeight="1">
      <c r="A59" s="408" t="s">
        <v>2437</v>
      </c>
      <c r="B59" s="408"/>
      <c r="C59" s="408"/>
      <c r="D59" s="408"/>
      <c r="E59" s="408"/>
      <c r="F59" s="408"/>
      <c r="G59" s="431"/>
      <c r="H59" s="19">
        <v>261</v>
      </c>
      <c r="I59" s="77"/>
      <c r="J59" s="77"/>
    </row>
    <row r="60" spans="1:10" s="2" customFormat="1" ht="13.5" customHeight="1">
      <c r="A60" s="408" t="s">
        <v>2438</v>
      </c>
      <c r="B60" s="408"/>
      <c r="C60" s="408"/>
      <c r="D60" s="408"/>
      <c r="E60" s="408"/>
      <c r="F60" s="408"/>
      <c r="G60" s="431"/>
      <c r="H60" s="19">
        <v>262</v>
      </c>
      <c r="I60" s="77"/>
      <c r="J60" s="77"/>
    </row>
    <row r="61" spans="1:10" s="2" customFormat="1" ht="13.5" customHeight="1">
      <c r="A61" s="435" t="s">
        <v>2445</v>
      </c>
      <c r="B61" s="435"/>
      <c r="C61" s="435"/>
      <c r="D61" s="435"/>
      <c r="E61" s="435"/>
      <c r="F61" s="435"/>
      <c r="G61" s="436"/>
      <c r="H61" s="19">
        <v>263</v>
      </c>
      <c r="I61" s="77"/>
      <c r="J61" s="77"/>
    </row>
    <row r="62" spans="1:10" s="2" customFormat="1" ht="13.5" customHeight="1">
      <c r="A62" s="408" t="s">
        <v>2439</v>
      </c>
      <c r="B62" s="408"/>
      <c r="C62" s="408"/>
      <c r="D62" s="408"/>
      <c r="E62" s="408"/>
      <c r="F62" s="408"/>
      <c r="G62" s="431"/>
      <c r="H62" s="19">
        <v>264</v>
      </c>
      <c r="I62" s="77"/>
      <c r="J62" s="77"/>
    </row>
    <row r="63" spans="1:10" s="2" customFormat="1" ht="13.5" customHeight="1">
      <c r="A63" s="408" t="s">
        <v>2440</v>
      </c>
      <c r="B63" s="408"/>
      <c r="C63" s="408"/>
      <c r="D63" s="408"/>
      <c r="E63" s="408"/>
      <c r="F63" s="408"/>
      <c r="G63" s="431"/>
      <c r="H63" s="19">
        <v>265</v>
      </c>
      <c r="I63" s="77"/>
      <c r="J63" s="77"/>
    </row>
    <row r="64" spans="1:10" s="2" customFormat="1" ht="13.5" customHeight="1">
      <c r="A64" s="408" t="s">
        <v>2441</v>
      </c>
      <c r="B64" s="408"/>
      <c r="C64" s="408"/>
      <c r="D64" s="408"/>
      <c r="E64" s="408"/>
      <c r="F64" s="408"/>
      <c r="G64" s="431"/>
      <c r="H64" s="19">
        <v>266</v>
      </c>
      <c r="I64" s="77"/>
      <c r="J64" s="77"/>
    </row>
    <row r="65" spans="1:10" s="2" customFormat="1" ht="13.5" customHeight="1">
      <c r="A65" s="408" t="s">
        <v>2442</v>
      </c>
      <c r="B65" s="408"/>
      <c r="C65" s="408"/>
      <c r="D65" s="408"/>
      <c r="E65" s="408"/>
      <c r="F65" s="408"/>
      <c r="G65" s="431"/>
      <c r="H65" s="19">
        <v>267</v>
      </c>
      <c r="I65" s="77"/>
      <c r="J65" s="77"/>
    </row>
    <row r="66" spans="1:10" s="2" customFormat="1" ht="13.5" customHeight="1">
      <c r="A66" s="435" t="s">
        <v>2903</v>
      </c>
      <c r="B66" s="435"/>
      <c r="C66" s="435"/>
      <c r="D66" s="435"/>
      <c r="E66" s="435"/>
      <c r="F66" s="435"/>
      <c r="G66" s="436"/>
      <c r="H66" s="19">
        <v>268</v>
      </c>
      <c r="I66" s="77"/>
      <c r="J66" s="77"/>
    </row>
    <row r="67" spans="1:10" s="2" customFormat="1" ht="24.75" customHeight="1">
      <c r="A67" s="408" t="s">
        <v>2220</v>
      </c>
      <c r="B67" s="408"/>
      <c r="C67" s="408"/>
      <c r="D67" s="408"/>
      <c r="E67" s="408"/>
      <c r="F67" s="408"/>
      <c r="G67" s="431"/>
      <c r="H67" s="19">
        <v>269</v>
      </c>
      <c r="I67" s="77"/>
      <c r="J67" s="77"/>
    </row>
    <row r="68" spans="1:10" s="2" customFormat="1" ht="13.5" customHeight="1">
      <c r="A68" s="408" t="s">
        <v>2448</v>
      </c>
      <c r="B68" s="408"/>
      <c r="C68" s="408"/>
      <c r="D68" s="408"/>
      <c r="E68" s="408"/>
      <c r="F68" s="408"/>
      <c r="G68" s="431"/>
      <c r="H68" s="19">
        <v>270</v>
      </c>
      <c r="I68" s="77"/>
      <c r="J68" s="77"/>
    </row>
    <row r="69" spans="1:10" s="2" customFormat="1" ht="13.5" customHeight="1">
      <c r="A69" s="408" t="s">
        <v>2447</v>
      </c>
      <c r="B69" s="408"/>
      <c r="C69" s="408"/>
      <c r="D69" s="408"/>
      <c r="E69" s="408"/>
      <c r="F69" s="408"/>
      <c r="G69" s="431"/>
      <c r="H69" s="19">
        <v>271</v>
      </c>
      <c r="I69" s="77"/>
      <c r="J69" s="77"/>
    </row>
    <row r="70" spans="1:10" s="2" customFormat="1" ht="24.75" customHeight="1">
      <c r="A70" s="408" t="s">
        <v>2446</v>
      </c>
      <c r="B70" s="408"/>
      <c r="C70" s="408"/>
      <c r="D70" s="408"/>
      <c r="E70" s="408"/>
      <c r="F70" s="408"/>
      <c r="G70" s="431"/>
      <c r="H70" s="19">
        <v>272</v>
      </c>
      <c r="I70" s="77"/>
      <c r="J70" s="77"/>
    </row>
    <row r="71" spans="1:10" s="2" customFormat="1" ht="13.5" customHeight="1">
      <c r="A71" s="425" t="s">
        <v>396</v>
      </c>
      <c r="B71" s="425"/>
      <c r="C71" s="425"/>
      <c r="D71" s="425"/>
      <c r="E71" s="425"/>
      <c r="F71" s="425"/>
      <c r="G71" s="434"/>
      <c r="H71" s="21">
        <v>273</v>
      </c>
      <c r="I71" s="78"/>
      <c r="J71" s="78"/>
    </row>
    <row r="72" spans="1:10" s="2" customFormat="1" ht="13.5" customHeight="1">
      <c r="A72" s="426" t="s">
        <v>283</v>
      </c>
      <c r="B72" s="427"/>
      <c r="C72" s="427"/>
      <c r="D72" s="427"/>
      <c r="E72" s="427"/>
      <c r="F72" s="427"/>
      <c r="G72" s="427"/>
      <c r="H72" s="427"/>
      <c r="I72" s="427"/>
      <c r="J72" s="428"/>
    </row>
    <row r="73" spans="1:10" s="2" customFormat="1" ht="13.5" customHeight="1">
      <c r="A73" s="429" t="s">
        <v>243</v>
      </c>
      <c r="B73" s="429"/>
      <c r="C73" s="429"/>
      <c r="D73" s="429"/>
      <c r="E73" s="429"/>
      <c r="F73" s="429"/>
      <c r="G73" s="430"/>
      <c r="H73" s="92">
        <v>274</v>
      </c>
      <c r="I73" s="94"/>
      <c r="J73" s="94"/>
    </row>
    <row r="74" spans="1:10" s="2" customFormat="1" ht="13.5" customHeight="1">
      <c r="A74" s="408" t="s">
        <v>244</v>
      </c>
      <c r="B74" s="408"/>
      <c r="C74" s="408"/>
      <c r="D74" s="408"/>
      <c r="E74" s="408"/>
      <c r="F74" s="408"/>
      <c r="G74" s="431"/>
      <c r="H74" s="19">
        <v>275</v>
      </c>
      <c r="I74" s="77"/>
      <c r="J74" s="77"/>
    </row>
    <row r="75" spans="1:10" s="2" customFormat="1" ht="13.5" customHeight="1">
      <c r="A75" s="408" t="s">
        <v>1923</v>
      </c>
      <c r="B75" s="408"/>
      <c r="C75" s="408"/>
      <c r="D75" s="408"/>
      <c r="E75" s="408"/>
      <c r="F75" s="408"/>
      <c r="G75" s="431"/>
      <c r="H75" s="19">
        <v>276</v>
      </c>
      <c r="I75" s="77"/>
      <c r="J75" s="77"/>
    </row>
    <row r="76" spans="1:10" s="2" customFormat="1" ht="13.5" customHeight="1">
      <c r="A76" s="425" t="s">
        <v>1924</v>
      </c>
      <c r="B76" s="425"/>
      <c r="C76" s="425"/>
      <c r="D76" s="425"/>
      <c r="E76" s="425"/>
      <c r="F76" s="425"/>
      <c r="G76" s="434"/>
      <c r="H76" s="21">
        <v>277</v>
      </c>
      <c r="I76" s="78"/>
      <c r="J76" s="78"/>
    </row>
    <row r="77" spans="1:10" s="2" customFormat="1" ht="13.5" customHeight="1">
      <c r="A77" s="426" t="s">
        <v>395</v>
      </c>
      <c r="B77" s="427"/>
      <c r="C77" s="427"/>
      <c r="D77" s="427"/>
      <c r="E77" s="427"/>
      <c r="F77" s="427"/>
      <c r="G77" s="427"/>
      <c r="H77" s="427"/>
      <c r="I77" s="427"/>
      <c r="J77" s="428"/>
    </row>
    <row r="78" spans="1:10" s="2" customFormat="1" ht="24.75" customHeight="1">
      <c r="A78" s="429" t="s">
        <v>1651</v>
      </c>
      <c r="B78" s="429"/>
      <c r="C78" s="429"/>
      <c r="D78" s="429"/>
      <c r="E78" s="429"/>
      <c r="F78" s="429"/>
      <c r="G78" s="430"/>
      <c r="H78" s="92">
        <v>278</v>
      </c>
      <c r="I78" s="228">
        <f>SUM(I79:I82)</f>
        <v>0</v>
      </c>
      <c r="J78" s="228">
        <f>SUM(J79:J82)</f>
        <v>0</v>
      </c>
    </row>
    <row r="79" spans="1:10" s="2" customFormat="1" ht="13.5" customHeight="1">
      <c r="A79" s="408" t="s">
        <v>629</v>
      </c>
      <c r="B79" s="408"/>
      <c r="C79" s="408"/>
      <c r="D79" s="408"/>
      <c r="E79" s="408"/>
      <c r="F79" s="408"/>
      <c r="G79" s="431"/>
      <c r="H79" s="19">
        <v>279</v>
      </c>
      <c r="I79" s="77"/>
      <c r="J79" s="77"/>
    </row>
    <row r="80" spans="1:10" s="2" customFormat="1" ht="13.5" customHeight="1">
      <c r="A80" s="408" t="s">
        <v>630</v>
      </c>
      <c r="B80" s="408"/>
      <c r="C80" s="408"/>
      <c r="D80" s="408"/>
      <c r="E80" s="408"/>
      <c r="F80" s="408"/>
      <c r="G80" s="431"/>
      <c r="H80" s="19">
        <v>280</v>
      </c>
      <c r="I80" s="77"/>
      <c r="J80" s="77"/>
    </row>
    <row r="81" spans="1:10" s="2" customFormat="1" ht="13.5" customHeight="1">
      <c r="A81" s="408" t="s">
        <v>1</v>
      </c>
      <c r="B81" s="408"/>
      <c r="C81" s="408"/>
      <c r="D81" s="408"/>
      <c r="E81" s="408"/>
      <c r="F81" s="408"/>
      <c r="G81" s="431"/>
      <c r="H81" s="19">
        <v>281</v>
      </c>
      <c r="I81" s="77"/>
      <c r="J81" s="77"/>
    </row>
    <row r="82" spans="1:10" s="2" customFormat="1" ht="36" customHeight="1">
      <c r="A82" s="408" t="s">
        <v>4</v>
      </c>
      <c r="B82" s="408"/>
      <c r="C82" s="408"/>
      <c r="D82" s="408"/>
      <c r="E82" s="408"/>
      <c r="F82" s="408"/>
      <c r="G82" s="431"/>
      <c r="H82" s="19">
        <v>282</v>
      </c>
      <c r="I82" s="77"/>
      <c r="J82" s="77"/>
    </row>
    <row r="83" spans="1:10" s="2" customFormat="1" ht="13.5" customHeight="1">
      <c r="A83" s="408" t="s">
        <v>2</v>
      </c>
      <c r="B83" s="408"/>
      <c r="C83" s="408"/>
      <c r="D83" s="408"/>
      <c r="E83" s="408"/>
      <c r="F83" s="408"/>
      <c r="G83" s="431"/>
      <c r="H83" s="19">
        <v>283</v>
      </c>
      <c r="I83" s="77"/>
      <c r="J83" s="77"/>
    </row>
    <row r="84" spans="1:10" s="2" customFormat="1" ht="13.5" customHeight="1">
      <c r="A84" s="408" t="s">
        <v>3</v>
      </c>
      <c r="B84" s="408"/>
      <c r="C84" s="408"/>
      <c r="D84" s="408"/>
      <c r="E84" s="408"/>
      <c r="F84" s="408"/>
      <c r="G84" s="431"/>
      <c r="H84" s="19">
        <v>284</v>
      </c>
      <c r="I84" s="77"/>
      <c r="J84" s="77"/>
    </row>
    <row r="85" spans="1:10" s="2" customFormat="1" ht="24.75" customHeight="1">
      <c r="A85" s="408" t="s">
        <v>2221</v>
      </c>
      <c r="B85" s="408"/>
      <c r="C85" s="408"/>
      <c r="D85" s="408"/>
      <c r="E85" s="408"/>
      <c r="F85" s="408"/>
      <c r="G85" s="431"/>
      <c r="H85" s="19">
        <v>285</v>
      </c>
      <c r="I85" s="77"/>
      <c r="J85" s="77"/>
    </row>
    <row r="86" spans="1:10" s="2" customFormat="1" ht="24.75" customHeight="1">
      <c r="A86" s="425" t="s">
        <v>5</v>
      </c>
      <c r="B86" s="425"/>
      <c r="C86" s="425"/>
      <c r="D86" s="425"/>
      <c r="E86" s="425"/>
      <c r="F86" s="425"/>
      <c r="G86" s="434"/>
      <c r="H86" s="21">
        <v>286</v>
      </c>
      <c r="I86" s="78"/>
      <c r="J86" s="78"/>
    </row>
    <row r="87" spans="1:10" s="2" customFormat="1" ht="13.5" customHeight="1">
      <c r="A87" s="426" t="s">
        <v>628</v>
      </c>
      <c r="B87" s="427"/>
      <c r="C87" s="427"/>
      <c r="D87" s="427"/>
      <c r="E87" s="427"/>
      <c r="F87" s="427"/>
      <c r="G87" s="427"/>
      <c r="H87" s="427"/>
      <c r="I87" s="427"/>
      <c r="J87" s="428"/>
    </row>
    <row r="88" spans="1:13" s="2" customFormat="1" ht="36" customHeight="1">
      <c r="A88" s="432" t="s">
        <v>6</v>
      </c>
      <c r="B88" s="432"/>
      <c r="C88" s="432"/>
      <c r="D88" s="432"/>
      <c r="E88" s="432"/>
      <c r="F88" s="432"/>
      <c r="G88" s="433"/>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6" activePane="bottomLeft" state="frozen"/>
      <selection pane="topLeft" activeCell="A1" sqref="A1"/>
      <selection pane="bottomLeft" activeCell="J24" sqref="J24"/>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1</v>
      </c>
      <c r="R1" s="73" t="s">
        <v>539</v>
      </c>
    </row>
    <row r="2" spans="1:18" s="2" customFormat="1" ht="19.5" customHeight="1">
      <c r="A2" s="447" t="s">
        <v>1454</v>
      </c>
      <c r="B2" s="448"/>
      <c r="C2" s="448"/>
      <c r="D2" s="448"/>
      <c r="E2" s="448"/>
      <c r="F2" s="448"/>
      <c r="G2" s="448"/>
      <c r="H2" s="448"/>
      <c r="I2" s="453"/>
      <c r="J2" s="389" t="s">
        <v>2594</v>
      </c>
      <c r="Q2" s="74">
        <f>IF(OR(MIN(I8:I60)&lt;0,MAX(I8:I60)&gt;0),1,0)</f>
        <v>1</v>
      </c>
      <c r="R2" s="73" t="s">
        <v>2586</v>
      </c>
    </row>
    <row r="3" spans="1:18" s="2" customFormat="1" ht="19.5" customHeight="1" thickBot="1">
      <c r="A3" s="450" t="str">
        <f>"u razdoblju "&amp;IF(RefStr!C4&lt;&gt;"",TEXT(RefStr!C4,"DD.MM.YYYY."),"__.__.____.")&amp;" do "&amp;IF(RefStr!F4&lt;&gt;"",TEXT(RefStr!F4,"DD.MM.YYYY."),"__.__.____.")</f>
        <v>u razdoblju 01.01.2017. do 31.12.2017.</v>
      </c>
      <c r="B3" s="451"/>
      <c r="C3" s="451"/>
      <c r="D3" s="451"/>
      <c r="E3" s="451"/>
      <c r="F3" s="451"/>
      <c r="G3" s="451"/>
      <c r="H3" s="451"/>
      <c r="I3" s="454"/>
      <c r="J3" s="437"/>
      <c r="Q3" s="74">
        <f>IF(OR(MIN(J8:J60)&lt;0,MAX(J8:J60)&gt;0),1,0)</f>
        <v>1</v>
      </c>
      <c r="R3" s="73" t="s">
        <v>2587</v>
      </c>
    </row>
    <row r="4" spans="1:9" s="2" customFormat="1" ht="4.5" customHeight="1">
      <c r="A4" s="116"/>
      <c r="B4" s="89"/>
      <c r="C4" s="89"/>
      <c r="D4" s="89"/>
      <c r="E4" s="89"/>
      <c r="F4" s="89"/>
      <c r="G4" s="89"/>
      <c r="H4" s="89"/>
      <c r="I4" s="90"/>
    </row>
    <row r="5" spans="1:10" s="2" customFormat="1" ht="15" customHeight="1">
      <c r="A5" s="397" t="str">
        <f>"Obveznik: "&amp;IF(RefStr!C27&lt;&gt;"",RefStr!C27,"________")&amp;"; "&amp;IF(RefStr!C29&lt;&gt;"",RefStr!C29,"________________________________________________________"&amp;"; "&amp;IF(RefStr!F31&lt;&gt;"",RefStr!F31,"_______________"))</f>
        <v>Obveznik: 77317840351; VODOVOD d.o.o.</v>
      </c>
      <c r="B5" s="398"/>
      <c r="C5" s="398"/>
      <c r="D5" s="398"/>
      <c r="E5" s="398"/>
      <c r="F5" s="398"/>
      <c r="G5" s="398"/>
      <c r="H5" s="398"/>
      <c r="I5" s="398"/>
      <c r="J5" s="399"/>
    </row>
    <row r="6" spans="1:10" s="2" customFormat="1" ht="24.75" customHeight="1" thickBot="1">
      <c r="A6" s="455" t="s">
        <v>719</v>
      </c>
      <c r="B6" s="456"/>
      <c r="C6" s="456"/>
      <c r="D6" s="456"/>
      <c r="E6" s="456"/>
      <c r="F6" s="456"/>
      <c r="G6" s="98" t="s">
        <v>799</v>
      </c>
      <c r="H6" s="102" t="s">
        <v>1968</v>
      </c>
      <c r="I6" s="98" t="s">
        <v>459</v>
      </c>
      <c r="J6" s="99" t="s">
        <v>460</v>
      </c>
    </row>
    <row r="7" spans="1:10" s="2" customFormat="1" ht="13.5" customHeight="1">
      <c r="A7" s="457">
        <v>1</v>
      </c>
      <c r="B7" s="458"/>
      <c r="C7" s="458"/>
      <c r="D7" s="458"/>
      <c r="E7" s="458"/>
      <c r="F7" s="458"/>
      <c r="G7" s="117">
        <v>2</v>
      </c>
      <c r="H7" s="118">
        <v>3</v>
      </c>
      <c r="I7" s="119">
        <v>4</v>
      </c>
      <c r="J7" s="120">
        <v>5</v>
      </c>
    </row>
    <row r="8" spans="1:10" s="2" customFormat="1" ht="15" customHeight="1">
      <c r="A8" s="426" t="s">
        <v>7</v>
      </c>
      <c r="B8" s="427"/>
      <c r="C8" s="427"/>
      <c r="D8" s="427"/>
      <c r="E8" s="427"/>
      <c r="F8" s="427"/>
      <c r="G8" s="427"/>
      <c r="H8" s="427"/>
      <c r="I8" s="427"/>
      <c r="J8" s="428"/>
    </row>
    <row r="9" spans="1:10" s="2" customFormat="1" ht="13.5" customHeight="1">
      <c r="A9" s="429" t="s">
        <v>8</v>
      </c>
      <c r="B9" s="429"/>
      <c r="C9" s="429"/>
      <c r="D9" s="429"/>
      <c r="E9" s="429"/>
      <c r="F9" s="429"/>
      <c r="G9" s="92">
        <v>1</v>
      </c>
      <c r="H9" s="124"/>
      <c r="I9" s="142">
        <v>5331987</v>
      </c>
      <c r="J9" s="142">
        <v>260579</v>
      </c>
    </row>
    <row r="10" spans="1:10" s="2" customFormat="1" ht="13.5" customHeight="1">
      <c r="A10" s="408" t="s">
        <v>238</v>
      </c>
      <c r="B10" s="408"/>
      <c r="C10" s="408"/>
      <c r="D10" s="408"/>
      <c r="E10" s="408"/>
      <c r="F10" s="408"/>
      <c r="G10" s="19">
        <v>2</v>
      </c>
      <c r="H10" s="23"/>
      <c r="I10" s="125">
        <f>SUM(I11:I18)</f>
        <v>5787314</v>
      </c>
      <c r="J10" s="125">
        <f>SUM(J11:J18)</f>
        <v>6654165</v>
      </c>
    </row>
    <row r="11" spans="1:10" s="2" customFormat="1" ht="13.5" customHeight="1">
      <c r="A11" s="435" t="s">
        <v>2335</v>
      </c>
      <c r="B11" s="435"/>
      <c r="C11" s="435"/>
      <c r="D11" s="435"/>
      <c r="E11" s="435"/>
      <c r="F11" s="435"/>
      <c r="G11" s="19">
        <v>3</v>
      </c>
      <c r="H11" s="23"/>
      <c r="I11" s="126">
        <v>5787314</v>
      </c>
      <c r="J11" s="126">
        <v>6654165</v>
      </c>
    </row>
    <row r="12" spans="1:10" s="2" customFormat="1" ht="24.75" customHeight="1">
      <c r="A12" s="435" t="s">
        <v>2910</v>
      </c>
      <c r="B12" s="435"/>
      <c r="C12" s="435"/>
      <c r="D12" s="435"/>
      <c r="E12" s="435"/>
      <c r="F12" s="435"/>
      <c r="G12" s="19">
        <v>4</v>
      </c>
      <c r="H12" s="23"/>
      <c r="I12" s="126"/>
      <c r="J12" s="126"/>
    </row>
    <row r="13" spans="1:10" s="2" customFormat="1" ht="24.75" customHeight="1">
      <c r="A13" s="435" t="s">
        <v>2911</v>
      </c>
      <c r="B13" s="435"/>
      <c r="C13" s="435"/>
      <c r="D13" s="435"/>
      <c r="E13" s="435"/>
      <c r="F13" s="435"/>
      <c r="G13" s="19">
        <v>5</v>
      </c>
      <c r="H13" s="23"/>
      <c r="I13" s="126"/>
      <c r="J13" s="126"/>
    </row>
    <row r="14" spans="1:12" s="2" customFormat="1" ht="13.5" customHeight="1">
      <c r="A14" s="435" t="s">
        <v>2336</v>
      </c>
      <c r="B14" s="435"/>
      <c r="C14" s="435"/>
      <c r="D14" s="435"/>
      <c r="E14" s="435"/>
      <c r="F14" s="435"/>
      <c r="G14" s="19">
        <v>6</v>
      </c>
      <c r="H14" s="23"/>
      <c r="I14" s="126"/>
      <c r="J14" s="126"/>
      <c r="L14" s="73"/>
    </row>
    <row r="15" spans="1:10" s="2" customFormat="1" ht="13.5" customHeight="1">
      <c r="A15" s="435" t="s">
        <v>2337</v>
      </c>
      <c r="B15" s="435"/>
      <c r="C15" s="435"/>
      <c r="D15" s="435"/>
      <c r="E15" s="435"/>
      <c r="F15" s="435"/>
      <c r="G15" s="19">
        <v>7</v>
      </c>
      <c r="H15" s="23"/>
      <c r="I15" s="126"/>
      <c r="J15" s="126"/>
    </row>
    <row r="16" spans="1:10" s="2" customFormat="1" ht="13.5" customHeight="1">
      <c r="A16" s="435" t="s">
        <v>2338</v>
      </c>
      <c r="B16" s="435"/>
      <c r="C16" s="435"/>
      <c r="D16" s="435"/>
      <c r="E16" s="435"/>
      <c r="F16" s="435"/>
      <c r="G16" s="19">
        <v>8</v>
      </c>
      <c r="H16" s="23"/>
      <c r="I16" s="126"/>
      <c r="J16" s="126"/>
    </row>
    <row r="17" spans="1:10" s="2" customFormat="1" ht="13.5" customHeight="1">
      <c r="A17" s="435" t="s">
        <v>2339</v>
      </c>
      <c r="B17" s="435"/>
      <c r="C17" s="435"/>
      <c r="D17" s="435"/>
      <c r="E17" s="435"/>
      <c r="F17" s="435"/>
      <c r="G17" s="19">
        <v>9</v>
      </c>
      <c r="H17" s="23"/>
      <c r="I17" s="126"/>
      <c r="J17" s="126"/>
    </row>
    <row r="18" spans="1:10" s="2" customFormat="1" ht="13.5" customHeight="1">
      <c r="A18" s="435" t="s">
        <v>2909</v>
      </c>
      <c r="B18" s="435"/>
      <c r="C18" s="435"/>
      <c r="D18" s="435"/>
      <c r="E18" s="435"/>
      <c r="F18" s="435"/>
      <c r="G18" s="19">
        <v>10</v>
      </c>
      <c r="H18" s="23"/>
      <c r="I18" s="126"/>
      <c r="J18" s="126"/>
    </row>
    <row r="19" spans="1:14" s="2" customFormat="1" ht="24.75" customHeight="1">
      <c r="A19" s="409" t="s">
        <v>2908</v>
      </c>
      <c r="B19" s="409"/>
      <c r="C19" s="409"/>
      <c r="D19" s="409"/>
      <c r="E19" s="409"/>
      <c r="F19" s="409"/>
      <c r="G19" s="19">
        <v>11</v>
      </c>
      <c r="H19" s="23"/>
      <c r="I19" s="125">
        <f>I9+I10</f>
        <v>11119301</v>
      </c>
      <c r="J19" s="125">
        <f>J9+J10</f>
        <v>6914744</v>
      </c>
      <c r="N19" s="2">
        <f>IF(MIN(NT_I!I11:J11,NT_I!I15:J15,NT_I!I30:J36,NT_I!I59:J60)&lt;0,1,0)</f>
        <v>0</v>
      </c>
    </row>
    <row r="20" spans="1:10" s="2" customFormat="1" ht="13.5" customHeight="1">
      <c r="A20" s="408" t="s">
        <v>461</v>
      </c>
      <c r="B20" s="408"/>
      <c r="C20" s="408"/>
      <c r="D20" s="408"/>
      <c r="E20" s="408"/>
      <c r="F20" s="408"/>
      <c r="G20" s="19">
        <v>12</v>
      </c>
      <c r="H20" s="23"/>
      <c r="I20" s="125">
        <f>SUM(I21:I24)</f>
        <v>-1302198</v>
      </c>
      <c r="J20" s="125">
        <f>SUM(J21:J24)</f>
        <v>-1988788</v>
      </c>
    </row>
    <row r="21" spans="1:10" s="2" customFormat="1" ht="13.5" customHeight="1">
      <c r="A21" s="435" t="s">
        <v>2052</v>
      </c>
      <c r="B21" s="435"/>
      <c r="C21" s="435"/>
      <c r="D21" s="435"/>
      <c r="E21" s="435"/>
      <c r="F21" s="435"/>
      <c r="G21" s="19">
        <v>13</v>
      </c>
      <c r="H21" s="23"/>
      <c r="I21" s="126">
        <v>-2059628</v>
      </c>
      <c r="J21" s="126">
        <v>-1179570</v>
      </c>
    </row>
    <row r="22" spans="1:10" s="2" customFormat="1" ht="13.5" customHeight="1">
      <c r="A22" s="435" t="s">
        <v>2053</v>
      </c>
      <c r="B22" s="435"/>
      <c r="C22" s="435"/>
      <c r="D22" s="435"/>
      <c r="E22" s="435"/>
      <c r="F22" s="435"/>
      <c r="G22" s="19">
        <v>14</v>
      </c>
      <c r="H22" s="23"/>
      <c r="I22" s="126">
        <v>192798</v>
      </c>
      <c r="J22" s="126">
        <v>-701394</v>
      </c>
    </row>
    <row r="23" spans="1:10" s="2" customFormat="1" ht="13.5" customHeight="1">
      <c r="A23" s="435" t="s">
        <v>2054</v>
      </c>
      <c r="B23" s="435"/>
      <c r="C23" s="435"/>
      <c r="D23" s="435"/>
      <c r="E23" s="435"/>
      <c r="F23" s="435"/>
      <c r="G23" s="19">
        <v>15</v>
      </c>
      <c r="H23" s="23"/>
      <c r="I23" s="126">
        <v>473305</v>
      </c>
      <c r="J23" s="126">
        <v>-26459</v>
      </c>
    </row>
    <row r="24" spans="1:10" s="2" customFormat="1" ht="13.5" customHeight="1">
      <c r="A24" s="435" t="s">
        <v>2055</v>
      </c>
      <c r="B24" s="435"/>
      <c r="C24" s="435"/>
      <c r="D24" s="435"/>
      <c r="E24" s="435"/>
      <c r="F24" s="435"/>
      <c r="G24" s="19">
        <v>16</v>
      </c>
      <c r="H24" s="23"/>
      <c r="I24" s="126">
        <v>91327</v>
      </c>
      <c r="J24" s="126">
        <v>-81365</v>
      </c>
    </row>
    <row r="25" spans="1:10" s="2" customFormat="1" ht="13.5" customHeight="1">
      <c r="A25" s="409" t="s">
        <v>2524</v>
      </c>
      <c r="B25" s="409"/>
      <c r="C25" s="409"/>
      <c r="D25" s="409"/>
      <c r="E25" s="409"/>
      <c r="F25" s="409"/>
      <c r="G25" s="19">
        <v>17</v>
      </c>
      <c r="H25" s="23"/>
      <c r="I25" s="125">
        <f>I19+I20</f>
        <v>9817103</v>
      </c>
      <c r="J25" s="125">
        <f>J19+J20</f>
        <v>4925956</v>
      </c>
    </row>
    <row r="26" spans="1:10" s="2" customFormat="1" ht="13.5" customHeight="1">
      <c r="A26" s="408" t="s">
        <v>226</v>
      </c>
      <c r="B26" s="408"/>
      <c r="C26" s="408"/>
      <c r="D26" s="408"/>
      <c r="E26" s="408"/>
      <c r="F26" s="408"/>
      <c r="G26" s="19">
        <v>18</v>
      </c>
      <c r="H26" s="23"/>
      <c r="I26" s="126"/>
      <c r="J26" s="126"/>
    </row>
    <row r="27" spans="1:10" s="2" customFormat="1" ht="13.5" customHeight="1">
      <c r="A27" s="408" t="s">
        <v>227</v>
      </c>
      <c r="B27" s="408"/>
      <c r="C27" s="408"/>
      <c r="D27" s="408"/>
      <c r="E27" s="408"/>
      <c r="F27" s="408"/>
      <c r="G27" s="19">
        <v>19</v>
      </c>
      <c r="H27" s="23"/>
      <c r="I27" s="126"/>
      <c r="J27" s="126"/>
    </row>
    <row r="28" spans="1:10" s="2" customFormat="1" ht="13.5" customHeight="1">
      <c r="A28" s="459" t="s">
        <v>237</v>
      </c>
      <c r="B28" s="459"/>
      <c r="C28" s="459"/>
      <c r="D28" s="459"/>
      <c r="E28" s="459"/>
      <c r="F28" s="459"/>
      <c r="G28" s="21">
        <v>20</v>
      </c>
      <c r="H28" s="24"/>
      <c r="I28" s="127">
        <f>SUM(I25:I27)</f>
        <v>9817103</v>
      </c>
      <c r="J28" s="127">
        <f>SUM(J25:J27)</f>
        <v>4925956</v>
      </c>
    </row>
    <row r="29" spans="1:10" s="2" customFormat="1" ht="15" customHeight="1">
      <c r="A29" s="426" t="s">
        <v>2056</v>
      </c>
      <c r="B29" s="427"/>
      <c r="C29" s="427"/>
      <c r="D29" s="427"/>
      <c r="E29" s="427"/>
      <c r="F29" s="427"/>
      <c r="G29" s="427"/>
      <c r="H29" s="427"/>
      <c r="I29" s="427"/>
      <c r="J29" s="428"/>
    </row>
    <row r="30" spans="1:10" s="2" customFormat="1" ht="13.5" customHeight="1">
      <c r="A30" s="429" t="s">
        <v>228</v>
      </c>
      <c r="B30" s="429"/>
      <c r="C30" s="429"/>
      <c r="D30" s="429"/>
      <c r="E30" s="429"/>
      <c r="F30" s="429"/>
      <c r="G30" s="92">
        <v>21</v>
      </c>
      <c r="H30" s="124"/>
      <c r="I30" s="94"/>
      <c r="J30" s="94"/>
    </row>
    <row r="31" spans="1:10" s="2" customFormat="1" ht="13.5" customHeight="1">
      <c r="A31" s="408" t="s">
        <v>229</v>
      </c>
      <c r="B31" s="408"/>
      <c r="C31" s="408"/>
      <c r="D31" s="408"/>
      <c r="E31" s="408"/>
      <c r="F31" s="408"/>
      <c r="G31" s="19">
        <v>22</v>
      </c>
      <c r="H31" s="23"/>
      <c r="I31" s="77"/>
      <c r="J31" s="77"/>
    </row>
    <row r="32" spans="1:10" s="2" customFormat="1" ht="13.5" customHeight="1">
      <c r="A32" s="408" t="s">
        <v>230</v>
      </c>
      <c r="B32" s="408"/>
      <c r="C32" s="408"/>
      <c r="D32" s="408"/>
      <c r="E32" s="408"/>
      <c r="F32" s="408"/>
      <c r="G32" s="19">
        <v>23</v>
      </c>
      <c r="H32" s="23"/>
      <c r="I32" s="77"/>
      <c r="J32" s="77"/>
    </row>
    <row r="33" spans="1:10" s="2" customFormat="1" ht="13.5" customHeight="1">
      <c r="A33" s="408" t="s">
        <v>231</v>
      </c>
      <c r="B33" s="408"/>
      <c r="C33" s="408"/>
      <c r="D33" s="408"/>
      <c r="E33" s="408"/>
      <c r="F33" s="408"/>
      <c r="G33" s="19">
        <v>24</v>
      </c>
      <c r="H33" s="23"/>
      <c r="I33" s="77"/>
      <c r="J33" s="77"/>
    </row>
    <row r="34" spans="1:10" s="2" customFormat="1" ht="13.5" customHeight="1">
      <c r="A34" s="408" t="s">
        <v>232</v>
      </c>
      <c r="B34" s="408"/>
      <c r="C34" s="408"/>
      <c r="D34" s="408"/>
      <c r="E34" s="408"/>
      <c r="F34" s="408"/>
      <c r="G34" s="19">
        <v>25</v>
      </c>
      <c r="H34" s="23"/>
      <c r="I34" s="77"/>
      <c r="J34" s="77"/>
    </row>
    <row r="35" spans="1:10" s="2" customFormat="1" ht="13.5" customHeight="1">
      <c r="A35" s="408" t="s">
        <v>2057</v>
      </c>
      <c r="B35" s="408"/>
      <c r="C35" s="408"/>
      <c r="D35" s="408"/>
      <c r="E35" s="408"/>
      <c r="F35" s="408"/>
      <c r="G35" s="19">
        <v>26</v>
      </c>
      <c r="H35" s="23"/>
      <c r="I35" s="77">
        <v>8990243</v>
      </c>
      <c r="J35" s="77">
        <v>4582725</v>
      </c>
    </row>
    <row r="36" spans="1:10" s="2" customFormat="1" ht="13.5" customHeight="1">
      <c r="A36" s="409" t="s">
        <v>2523</v>
      </c>
      <c r="B36" s="409"/>
      <c r="C36" s="409"/>
      <c r="D36" s="409"/>
      <c r="E36" s="409"/>
      <c r="F36" s="409"/>
      <c r="G36" s="19">
        <v>27</v>
      </c>
      <c r="H36" s="23"/>
      <c r="I36" s="86">
        <f>SUM(I30:I35)</f>
        <v>8990243</v>
      </c>
      <c r="J36" s="86">
        <f>SUM(J30:J35)</f>
        <v>4582725</v>
      </c>
    </row>
    <row r="37" spans="1:10" s="2" customFormat="1" ht="13.5" customHeight="1">
      <c r="A37" s="408" t="s">
        <v>233</v>
      </c>
      <c r="B37" s="408"/>
      <c r="C37" s="408"/>
      <c r="D37" s="408"/>
      <c r="E37" s="408"/>
      <c r="F37" s="408"/>
      <c r="G37" s="19">
        <v>28</v>
      </c>
      <c r="H37" s="23"/>
      <c r="I37" s="77">
        <v>-20115730</v>
      </c>
      <c r="J37" s="77">
        <v>-11865305</v>
      </c>
    </row>
    <row r="38" spans="1:10" s="2" customFormat="1" ht="13.5" customHeight="1">
      <c r="A38" s="408" t="s">
        <v>234</v>
      </c>
      <c r="B38" s="408"/>
      <c r="C38" s="408"/>
      <c r="D38" s="408"/>
      <c r="E38" s="408"/>
      <c r="F38" s="408"/>
      <c r="G38" s="19">
        <v>29</v>
      </c>
      <c r="H38" s="23"/>
      <c r="I38" s="77"/>
      <c r="J38" s="77"/>
    </row>
    <row r="39" spans="1:10" s="2" customFormat="1" ht="13.5" customHeight="1">
      <c r="A39" s="408" t="s">
        <v>235</v>
      </c>
      <c r="B39" s="408"/>
      <c r="C39" s="408"/>
      <c r="D39" s="408"/>
      <c r="E39" s="408"/>
      <c r="F39" s="408"/>
      <c r="G39" s="19">
        <v>30</v>
      </c>
      <c r="H39" s="23"/>
      <c r="I39" s="77"/>
      <c r="J39" s="77"/>
    </row>
    <row r="40" spans="1:10" s="2" customFormat="1" ht="13.5" customHeight="1">
      <c r="A40" s="408" t="s">
        <v>236</v>
      </c>
      <c r="B40" s="408"/>
      <c r="C40" s="408"/>
      <c r="D40" s="408"/>
      <c r="E40" s="408"/>
      <c r="F40" s="408"/>
      <c r="G40" s="19">
        <v>31</v>
      </c>
      <c r="H40" s="23"/>
      <c r="I40" s="77"/>
      <c r="J40" s="77"/>
    </row>
    <row r="41" spans="1:10" s="2" customFormat="1" ht="13.5" customHeight="1">
      <c r="A41" s="408" t="s">
        <v>2058</v>
      </c>
      <c r="B41" s="408"/>
      <c r="C41" s="408"/>
      <c r="D41" s="408"/>
      <c r="E41" s="408"/>
      <c r="F41" s="408"/>
      <c r="G41" s="19">
        <v>32</v>
      </c>
      <c r="H41" s="23"/>
      <c r="I41" s="77"/>
      <c r="J41" s="77"/>
    </row>
    <row r="42" spans="1:10" s="2" customFormat="1" ht="13.5" customHeight="1">
      <c r="A42" s="409" t="s">
        <v>2426</v>
      </c>
      <c r="B42" s="409"/>
      <c r="C42" s="409"/>
      <c r="D42" s="409"/>
      <c r="E42" s="409"/>
      <c r="F42" s="409"/>
      <c r="G42" s="19">
        <v>33</v>
      </c>
      <c r="H42" s="23"/>
      <c r="I42" s="86">
        <f>SUM(I37:I41)</f>
        <v>-20115730</v>
      </c>
      <c r="J42" s="86">
        <f>SUM(J37:J41)</f>
        <v>-11865305</v>
      </c>
    </row>
    <row r="43" spans="1:10" s="2" customFormat="1" ht="13.5" customHeight="1">
      <c r="A43" s="459" t="s">
        <v>2511</v>
      </c>
      <c r="B43" s="459"/>
      <c r="C43" s="459"/>
      <c r="D43" s="459"/>
      <c r="E43" s="459"/>
      <c r="F43" s="459"/>
      <c r="G43" s="21">
        <v>34</v>
      </c>
      <c r="H43" s="24"/>
      <c r="I43" s="87">
        <f>I36+I42</f>
        <v>-11125487</v>
      </c>
      <c r="J43" s="87">
        <f>J36+J42</f>
        <v>-7282580</v>
      </c>
    </row>
    <row r="44" spans="1:10" s="2" customFormat="1" ht="15" customHeight="1">
      <c r="A44" s="426" t="s">
        <v>2427</v>
      </c>
      <c r="B44" s="427"/>
      <c r="C44" s="427"/>
      <c r="D44" s="427"/>
      <c r="E44" s="427"/>
      <c r="F44" s="427"/>
      <c r="G44" s="427"/>
      <c r="H44" s="427"/>
      <c r="I44" s="427"/>
      <c r="J44" s="428"/>
    </row>
    <row r="45" spans="1:10" s="2" customFormat="1" ht="13.5" customHeight="1">
      <c r="A45" s="429" t="s">
        <v>2430</v>
      </c>
      <c r="B45" s="429"/>
      <c r="C45" s="429"/>
      <c r="D45" s="429"/>
      <c r="E45" s="429"/>
      <c r="F45" s="429"/>
      <c r="G45" s="92">
        <v>35</v>
      </c>
      <c r="H45" s="124"/>
      <c r="I45" s="94"/>
      <c r="J45" s="94"/>
    </row>
    <row r="46" spans="1:10" s="2" customFormat="1" ht="13.5" customHeight="1">
      <c r="A46" s="408" t="s">
        <v>2431</v>
      </c>
      <c r="B46" s="408"/>
      <c r="C46" s="408"/>
      <c r="D46" s="408"/>
      <c r="E46" s="408"/>
      <c r="F46" s="408"/>
      <c r="G46" s="19">
        <v>36</v>
      </c>
      <c r="H46" s="23"/>
      <c r="I46" s="77"/>
      <c r="J46" s="77"/>
    </row>
    <row r="47" spans="1:10" s="2" customFormat="1" ht="13.5" customHeight="1">
      <c r="A47" s="408" t="s">
        <v>2432</v>
      </c>
      <c r="B47" s="408"/>
      <c r="C47" s="408"/>
      <c r="D47" s="408"/>
      <c r="E47" s="408"/>
      <c r="F47" s="408"/>
      <c r="G47" s="19">
        <v>37</v>
      </c>
      <c r="H47" s="23"/>
      <c r="I47" s="77"/>
      <c r="J47" s="77"/>
    </row>
    <row r="48" spans="1:10" s="2" customFormat="1" ht="13.5" customHeight="1">
      <c r="A48" s="408" t="s">
        <v>2433</v>
      </c>
      <c r="B48" s="408"/>
      <c r="C48" s="408"/>
      <c r="D48" s="408"/>
      <c r="E48" s="408"/>
      <c r="F48" s="408"/>
      <c r="G48" s="19">
        <v>38</v>
      </c>
      <c r="H48" s="23"/>
      <c r="I48" s="77">
        <v>5000000</v>
      </c>
      <c r="J48" s="77">
        <v>0</v>
      </c>
    </row>
    <row r="49" spans="1:10" s="2" customFormat="1" ht="13.5" customHeight="1">
      <c r="A49" s="409" t="s">
        <v>2522</v>
      </c>
      <c r="B49" s="409"/>
      <c r="C49" s="409"/>
      <c r="D49" s="409"/>
      <c r="E49" s="409"/>
      <c r="F49" s="409"/>
      <c r="G49" s="19">
        <v>39</v>
      </c>
      <c r="H49" s="23"/>
      <c r="I49" s="86">
        <f>SUM(I45:I48)</f>
        <v>5000000</v>
      </c>
      <c r="J49" s="86">
        <f>SUM(J45:J48)</f>
        <v>0</v>
      </c>
    </row>
    <row r="50" spans="1:10" s="2" customFormat="1" ht="24.75" customHeight="1">
      <c r="A50" s="408" t="s">
        <v>1736</v>
      </c>
      <c r="B50" s="408"/>
      <c r="C50" s="408"/>
      <c r="D50" s="408"/>
      <c r="E50" s="408"/>
      <c r="F50" s="408"/>
      <c r="G50" s="19">
        <v>40</v>
      </c>
      <c r="H50" s="23"/>
      <c r="I50" s="77">
        <v>-1666881</v>
      </c>
      <c r="J50" s="77">
        <v>-1659141</v>
      </c>
    </row>
    <row r="51" spans="1:10" s="2" customFormat="1" ht="13.5" customHeight="1">
      <c r="A51" s="408" t="s">
        <v>1921</v>
      </c>
      <c r="B51" s="408"/>
      <c r="C51" s="408"/>
      <c r="D51" s="408"/>
      <c r="E51" s="408"/>
      <c r="F51" s="408"/>
      <c r="G51" s="19">
        <v>41</v>
      </c>
      <c r="H51" s="23"/>
      <c r="I51" s="77"/>
      <c r="J51" s="77"/>
    </row>
    <row r="52" spans="1:10" s="2" customFormat="1" ht="13.5" customHeight="1">
      <c r="A52" s="408" t="s">
        <v>1922</v>
      </c>
      <c r="B52" s="408"/>
      <c r="C52" s="408"/>
      <c r="D52" s="408"/>
      <c r="E52" s="408"/>
      <c r="F52" s="408"/>
      <c r="G52" s="19">
        <v>42</v>
      </c>
      <c r="H52" s="23"/>
      <c r="I52" s="77"/>
      <c r="J52" s="77"/>
    </row>
    <row r="53" spans="1:10" s="2" customFormat="1" ht="13.5" customHeight="1">
      <c r="A53" s="408" t="s">
        <v>1737</v>
      </c>
      <c r="B53" s="408"/>
      <c r="C53" s="408"/>
      <c r="D53" s="408"/>
      <c r="E53" s="408"/>
      <c r="F53" s="408"/>
      <c r="G53" s="19">
        <v>43</v>
      </c>
      <c r="H53" s="23"/>
      <c r="I53" s="77"/>
      <c r="J53" s="77"/>
    </row>
    <row r="54" spans="1:10" s="2" customFormat="1" ht="13.5" customHeight="1">
      <c r="A54" s="408" t="s">
        <v>2912</v>
      </c>
      <c r="B54" s="408"/>
      <c r="C54" s="408"/>
      <c r="D54" s="408"/>
      <c r="E54" s="408"/>
      <c r="F54" s="408"/>
      <c r="G54" s="19">
        <v>44</v>
      </c>
      <c r="H54" s="23"/>
      <c r="I54" s="77"/>
      <c r="J54" s="77"/>
    </row>
    <row r="55" spans="1:10" s="2" customFormat="1" ht="13.5" customHeight="1">
      <c r="A55" s="409" t="s">
        <v>2913</v>
      </c>
      <c r="B55" s="409"/>
      <c r="C55" s="409"/>
      <c r="D55" s="409"/>
      <c r="E55" s="409"/>
      <c r="F55" s="409"/>
      <c r="G55" s="19">
        <v>45</v>
      </c>
      <c r="H55" s="23"/>
      <c r="I55" s="86">
        <f>SUM(I50:I54)</f>
        <v>-1666881</v>
      </c>
      <c r="J55" s="86">
        <f>SUM(J50:J54)</f>
        <v>-1659141</v>
      </c>
    </row>
    <row r="56" spans="1:10" s="2" customFormat="1" ht="13.5" customHeight="1">
      <c r="A56" s="413" t="s">
        <v>9</v>
      </c>
      <c r="B56" s="413"/>
      <c r="C56" s="413"/>
      <c r="D56" s="413"/>
      <c r="E56" s="413"/>
      <c r="F56" s="413"/>
      <c r="G56" s="19">
        <v>46</v>
      </c>
      <c r="H56" s="23"/>
      <c r="I56" s="86">
        <f>I49+I55</f>
        <v>3333119</v>
      </c>
      <c r="J56" s="86">
        <f>J49+J55</f>
        <v>-1659141</v>
      </c>
    </row>
    <row r="57" spans="1:10" s="2" customFormat="1" ht="13.5" customHeight="1">
      <c r="A57" s="385" t="s">
        <v>2428</v>
      </c>
      <c r="B57" s="385"/>
      <c r="C57" s="385"/>
      <c r="D57" s="385"/>
      <c r="E57" s="385"/>
      <c r="F57" s="385"/>
      <c r="G57" s="19">
        <v>47</v>
      </c>
      <c r="H57" s="23"/>
      <c r="I57" s="77"/>
      <c r="J57" s="77"/>
    </row>
    <row r="58" spans="1:10" s="2" customFormat="1" ht="13.5" customHeight="1">
      <c r="A58" s="413" t="s">
        <v>1735</v>
      </c>
      <c r="B58" s="413"/>
      <c r="C58" s="413"/>
      <c r="D58" s="413"/>
      <c r="E58" s="413"/>
      <c r="F58" s="413"/>
      <c r="G58" s="19">
        <v>48</v>
      </c>
      <c r="H58" s="23"/>
      <c r="I58" s="86">
        <f>I28+I43+I56+I57</f>
        <v>2024735</v>
      </c>
      <c r="J58" s="86">
        <f>J28+J43+J56+J57</f>
        <v>-4015765</v>
      </c>
    </row>
    <row r="59" spans="1:10" s="2" customFormat="1" ht="13.5" customHeight="1">
      <c r="A59" s="413" t="s">
        <v>2429</v>
      </c>
      <c r="B59" s="413"/>
      <c r="C59" s="413"/>
      <c r="D59" s="413"/>
      <c r="E59" s="413"/>
      <c r="F59" s="413"/>
      <c r="G59" s="19">
        <v>49</v>
      </c>
      <c r="H59" s="23"/>
      <c r="I59" s="77">
        <v>6188455</v>
      </c>
      <c r="J59" s="77">
        <v>8213190</v>
      </c>
    </row>
    <row r="60" spans="1:18" s="2" customFormat="1" ht="13.5" customHeight="1">
      <c r="A60" s="459" t="s">
        <v>1734</v>
      </c>
      <c r="B60" s="459"/>
      <c r="C60" s="459"/>
      <c r="D60" s="459"/>
      <c r="E60" s="459"/>
      <c r="F60" s="459"/>
      <c r="G60" s="21">
        <v>50</v>
      </c>
      <c r="H60" s="24"/>
      <c r="I60" s="87">
        <f>I59+I58</f>
        <v>8213190</v>
      </c>
      <c r="J60" s="87">
        <f>J59+J58</f>
        <v>4197425</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7" t="s">
        <v>1455</v>
      </c>
      <c r="B2" s="448"/>
      <c r="C2" s="448"/>
      <c r="D2" s="448"/>
      <c r="E2" s="448"/>
      <c r="F2" s="448"/>
      <c r="G2" s="448"/>
      <c r="H2" s="448"/>
      <c r="I2" s="449"/>
      <c r="J2" s="389" t="s">
        <v>2595</v>
      </c>
      <c r="Q2" s="74">
        <f>IF(OR(MIN(I8:I52)&lt;0,MAX(I8:I52)&gt;0),1,0)</f>
        <v>0</v>
      </c>
      <c r="R2" s="73" t="s">
        <v>2586</v>
      </c>
    </row>
    <row r="3" spans="1:18" s="2" customFormat="1" ht="19.5" customHeight="1" thickBot="1">
      <c r="A3" s="450" t="str">
        <f>"u razdoblju "&amp;IF(RefStr!C4&lt;&gt;"",TEXT(RefStr!C4,"DD.MM.YYYY."),"__.__.____.")&amp;" do "&amp;IF(RefStr!F4&lt;&gt;"",TEXT(RefStr!F4,"DD.MM.YYYY."),"__.__.____.")</f>
        <v>u razdoblju 01.01.2017. do 31.12.2017.</v>
      </c>
      <c r="B3" s="451"/>
      <c r="C3" s="451"/>
      <c r="D3" s="451"/>
      <c r="E3" s="451"/>
      <c r="F3" s="451"/>
      <c r="G3" s="451"/>
      <c r="H3" s="451"/>
      <c r="I3" s="452"/>
      <c r="J3" s="437"/>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7" t="str">
        <f>"Obveznik: "&amp;IF(RefStr!C27&lt;&gt;"",RefStr!C27,"________")&amp;"; "&amp;IF(RefStr!C29&lt;&gt;"",RefStr!C29,"________________________________________________________"&amp;"; "&amp;IF(RefStr!F31&lt;&gt;"",RefStr!F31,"_______________"))</f>
        <v>Obveznik: 77317840351; VODOVOD d.o.o.</v>
      </c>
      <c r="B5" s="398"/>
      <c r="C5" s="398"/>
      <c r="D5" s="398"/>
      <c r="E5" s="398"/>
      <c r="F5" s="398"/>
      <c r="G5" s="398"/>
      <c r="H5" s="398"/>
      <c r="I5" s="398"/>
      <c r="J5" s="399"/>
    </row>
    <row r="6" spans="1:10" s="2" customFormat="1" ht="24.75" customHeight="1" thickBot="1">
      <c r="A6" s="455" t="s">
        <v>719</v>
      </c>
      <c r="B6" s="456"/>
      <c r="C6" s="456"/>
      <c r="D6" s="456"/>
      <c r="E6" s="456"/>
      <c r="F6" s="456"/>
      <c r="G6" s="98" t="s">
        <v>799</v>
      </c>
      <c r="H6" s="102" t="s">
        <v>1968</v>
      </c>
      <c r="I6" s="98" t="s">
        <v>459</v>
      </c>
      <c r="J6" s="99" t="s">
        <v>460</v>
      </c>
    </row>
    <row r="7" spans="1:10" s="2" customFormat="1" ht="13.5" customHeight="1">
      <c r="A7" s="457">
        <v>1</v>
      </c>
      <c r="B7" s="458"/>
      <c r="C7" s="458"/>
      <c r="D7" s="458"/>
      <c r="E7" s="458"/>
      <c r="F7" s="458"/>
      <c r="G7" s="117">
        <v>2</v>
      </c>
      <c r="H7" s="118">
        <v>3</v>
      </c>
      <c r="I7" s="119">
        <v>4</v>
      </c>
      <c r="J7" s="120">
        <v>5</v>
      </c>
    </row>
    <row r="8" spans="1:10" s="2" customFormat="1" ht="15" customHeight="1">
      <c r="A8" s="426" t="s">
        <v>7</v>
      </c>
      <c r="B8" s="427"/>
      <c r="C8" s="427"/>
      <c r="D8" s="427"/>
      <c r="E8" s="427"/>
      <c r="F8" s="427"/>
      <c r="G8" s="427"/>
      <c r="H8" s="427"/>
      <c r="I8" s="427"/>
      <c r="J8" s="428"/>
    </row>
    <row r="9" spans="1:10" s="2" customFormat="1" ht="13.5" customHeight="1">
      <c r="A9" s="429" t="s">
        <v>2527</v>
      </c>
      <c r="B9" s="429"/>
      <c r="C9" s="429"/>
      <c r="D9" s="429"/>
      <c r="E9" s="429"/>
      <c r="F9" s="429"/>
      <c r="G9" s="92">
        <v>1</v>
      </c>
      <c r="H9" s="124"/>
      <c r="I9" s="94"/>
      <c r="J9" s="94"/>
    </row>
    <row r="10" spans="1:10" s="2" customFormat="1" ht="13.5" customHeight="1">
      <c r="A10" s="408" t="s">
        <v>2528</v>
      </c>
      <c r="B10" s="408"/>
      <c r="C10" s="408"/>
      <c r="D10" s="408"/>
      <c r="E10" s="408"/>
      <c r="F10" s="408"/>
      <c r="G10" s="19">
        <v>2</v>
      </c>
      <c r="H10" s="23"/>
      <c r="I10" s="77"/>
      <c r="J10" s="77"/>
    </row>
    <row r="11" spans="1:10" s="2" customFormat="1" ht="13.5" customHeight="1">
      <c r="A11" s="408" t="s">
        <v>2529</v>
      </c>
      <c r="B11" s="408"/>
      <c r="C11" s="408"/>
      <c r="D11" s="408"/>
      <c r="E11" s="408"/>
      <c r="F11" s="408"/>
      <c r="G11" s="19">
        <v>3</v>
      </c>
      <c r="H11" s="23"/>
      <c r="I11" s="77"/>
      <c r="J11" s="77"/>
    </row>
    <row r="12" spans="1:10" s="2" customFormat="1" ht="13.5" customHeight="1">
      <c r="A12" s="408" t="s">
        <v>2530</v>
      </c>
      <c r="B12" s="408"/>
      <c r="C12" s="408"/>
      <c r="D12" s="408"/>
      <c r="E12" s="408"/>
      <c r="F12" s="408"/>
      <c r="G12" s="19">
        <v>4</v>
      </c>
      <c r="H12" s="23"/>
      <c r="I12" s="77"/>
      <c r="J12" s="77"/>
    </row>
    <row r="13" spans="1:10" s="2" customFormat="1" ht="13.5" customHeight="1">
      <c r="A13" s="408" t="s">
        <v>1419</v>
      </c>
      <c r="B13" s="408"/>
      <c r="C13" s="408"/>
      <c r="D13" s="408"/>
      <c r="E13" s="408"/>
      <c r="F13" s="408"/>
      <c r="G13" s="19">
        <v>5</v>
      </c>
      <c r="H13" s="23"/>
      <c r="I13" s="77"/>
      <c r="J13" s="77"/>
    </row>
    <row r="14" spans="1:10" s="2" customFormat="1" ht="13.5" customHeight="1">
      <c r="A14" s="408" t="s">
        <v>1420</v>
      </c>
      <c r="B14" s="408"/>
      <c r="C14" s="408"/>
      <c r="D14" s="408"/>
      <c r="E14" s="408"/>
      <c r="F14" s="408"/>
      <c r="G14" s="19">
        <v>6</v>
      </c>
      <c r="H14" s="23"/>
      <c r="I14" s="77"/>
      <c r="J14" s="77"/>
    </row>
    <row r="15" spans="1:10" s="2" customFormat="1" ht="13.5" customHeight="1">
      <c r="A15" s="408" t="s">
        <v>1421</v>
      </c>
      <c r="B15" s="408"/>
      <c r="C15" s="408"/>
      <c r="D15" s="408"/>
      <c r="E15" s="408"/>
      <c r="F15" s="408"/>
      <c r="G15" s="19">
        <v>7</v>
      </c>
      <c r="H15" s="23"/>
      <c r="I15" s="77"/>
      <c r="J15" s="77"/>
    </row>
    <row r="16" spans="1:10" s="2" customFormat="1" ht="13.5" customHeight="1">
      <c r="A16" s="408" t="s">
        <v>1422</v>
      </c>
      <c r="B16" s="408"/>
      <c r="C16" s="408"/>
      <c r="D16" s="408"/>
      <c r="E16" s="408"/>
      <c r="F16" s="408"/>
      <c r="G16" s="19">
        <v>8</v>
      </c>
      <c r="H16" s="23"/>
      <c r="I16" s="77"/>
      <c r="J16" s="77"/>
    </row>
    <row r="17" spans="1:10" s="2" customFormat="1" ht="13.5" customHeight="1">
      <c r="A17" s="409" t="s">
        <v>2525</v>
      </c>
      <c r="B17" s="409"/>
      <c r="C17" s="409"/>
      <c r="D17" s="409"/>
      <c r="E17" s="409"/>
      <c r="F17" s="409"/>
      <c r="G17" s="19">
        <v>9</v>
      </c>
      <c r="H17" s="23"/>
      <c r="I17" s="86">
        <f>SUM(I9:I16)</f>
        <v>0</v>
      </c>
      <c r="J17" s="86">
        <f>SUM(J9:J16)</f>
        <v>0</v>
      </c>
    </row>
    <row r="18" spans="1:10" s="2" customFormat="1" ht="13.5" customHeight="1">
      <c r="A18" s="408" t="s">
        <v>1829</v>
      </c>
      <c r="B18" s="408"/>
      <c r="C18" s="408"/>
      <c r="D18" s="408"/>
      <c r="E18" s="408"/>
      <c r="F18" s="408"/>
      <c r="G18" s="19">
        <v>10</v>
      </c>
      <c r="H18" s="23"/>
      <c r="I18" s="77"/>
      <c r="J18" s="77"/>
    </row>
    <row r="19" spans="1:10" s="2" customFormat="1" ht="13.5" customHeight="1">
      <c r="A19" s="408" t="s">
        <v>2526</v>
      </c>
      <c r="B19" s="408"/>
      <c r="C19" s="408"/>
      <c r="D19" s="408"/>
      <c r="E19" s="408"/>
      <c r="F19" s="408"/>
      <c r="G19" s="19">
        <v>11</v>
      </c>
      <c r="H19" s="23"/>
      <c r="I19" s="77"/>
      <c r="J19" s="77"/>
    </row>
    <row r="20" spans="1:10" s="2" customFormat="1" ht="15" customHeight="1">
      <c r="A20" s="459" t="s">
        <v>10</v>
      </c>
      <c r="B20" s="459"/>
      <c r="C20" s="459"/>
      <c r="D20" s="459"/>
      <c r="E20" s="459"/>
      <c r="F20" s="459"/>
      <c r="G20" s="21">
        <v>12</v>
      </c>
      <c r="H20" s="24"/>
      <c r="I20" s="87">
        <f>SUM(I17:I19)</f>
        <v>0</v>
      </c>
      <c r="J20" s="87">
        <f>SUM(J17:J19)</f>
        <v>0</v>
      </c>
    </row>
    <row r="21" spans="1:10" s="2" customFormat="1" ht="13.5" customHeight="1">
      <c r="A21" s="426" t="s">
        <v>2056</v>
      </c>
      <c r="B21" s="427"/>
      <c r="C21" s="427"/>
      <c r="D21" s="427"/>
      <c r="E21" s="427"/>
      <c r="F21" s="427"/>
      <c r="G21" s="427"/>
      <c r="H21" s="427"/>
      <c r="I21" s="427"/>
      <c r="J21" s="428"/>
    </row>
    <row r="22" spans="1:10" s="2" customFormat="1" ht="15" customHeight="1">
      <c r="A22" s="429" t="s">
        <v>1830</v>
      </c>
      <c r="B22" s="429"/>
      <c r="C22" s="429"/>
      <c r="D22" s="429"/>
      <c r="E22" s="429"/>
      <c r="F22" s="429"/>
      <c r="G22" s="92">
        <v>13</v>
      </c>
      <c r="H22" s="124"/>
      <c r="I22" s="94"/>
      <c r="J22" s="94"/>
    </row>
    <row r="23" spans="1:10" s="2" customFormat="1" ht="13.5" customHeight="1">
      <c r="A23" s="408" t="s">
        <v>1831</v>
      </c>
      <c r="B23" s="408"/>
      <c r="C23" s="408"/>
      <c r="D23" s="408"/>
      <c r="E23" s="408"/>
      <c r="F23" s="408"/>
      <c r="G23" s="19">
        <v>14</v>
      </c>
      <c r="H23" s="23"/>
      <c r="I23" s="77"/>
      <c r="J23" s="77"/>
    </row>
    <row r="24" spans="1:10" s="2" customFormat="1" ht="13.5" customHeight="1">
      <c r="A24" s="408" t="s">
        <v>1832</v>
      </c>
      <c r="B24" s="408"/>
      <c r="C24" s="408"/>
      <c r="D24" s="408"/>
      <c r="E24" s="408"/>
      <c r="F24" s="408"/>
      <c r="G24" s="19">
        <v>15</v>
      </c>
      <c r="H24" s="23"/>
      <c r="I24" s="77"/>
      <c r="J24" s="77"/>
    </row>
    <row r="25" spans="1:10" s="2" customFormat="1" ht="13.5" customHeight="1">
      <c r="A25" s="408" t="s">
        <v>225</v>
      </c>
      <c r="B25" s="408"/>
      <c r="C25" s="408"/>
      <c r="D25" s="408"/>
      <c r="E25" s="408"/>
      <c r="F25" s="408"/>
      <c r="G25" s="19">
        <v>16</v>
      </c>
      <c r="H25" s="23"/>
      <c r="I25" s="77"/>
      <c r="J25" s="77"/>
    </row>
    <row r="26" spans="1:10" s="2" customFormat="1" ht="13.5" customHeight="1">
      <c r="A26" s="408" t="s">
        <v>441</v>
      </c>
      <c r="B26" s="408"/>
      <c r="C26" s="408"/>
      <c r="D26" s="408"/>
      <c r="E26" s="408"/>
      <c r="F26" s="408"/>
      <c r="G26" s="19">
        <v>17</v>
      </c>
      <c r="H26" s="23"/>
      <c r="I26" s="77"/>
      <c r="J26" s="77"/>
    </row>
    <row r="27" spans="1:10" s="2" customFormat="1" ht="13.5" customHeight="1">
      <c r="A27" s="408" t="s">
        <v>224</v>
      </c>
      <c r="B27" s="408"/>
      <c r="C27" s="408"/>
      <c r="D27" s="408"/>
      <c r="E27" s="408"/>
      <c r="F27" s="408"/>
      <c r="G27" s="19">
        <v>18</v>
      </c>
      <c r="H27" s="23"/>
      <c r="I27" s="77"/>
      <c r="J27" s="77"/>
    </row>
    <row r="28" spans="1:10" s="2" customFormat="1" ht="15" customHeight="1">
      <c r="A28" s="409" t="s">
        <v>2118</v>
      </c>
      <c r="B28" s="409"/>
      <c r="C28" s="409"/>
      <c r="D28" s="409"/>
      <c r="E28" s="409"/>
      <c r="F28" s="409"/>
      <c r="G28" s="19">
        <v>19</v>
      </c>
      <c r="H28" s="23"/>
      <c r="I28" s="86">
        <f>SUM(I22:I27)</f>
        <v>0</v>
      </c>
      <c r="J28" s="86">
        <f>SUM(J22:J27)</f>
        <v>0</v>
      </c>
    </row>
    <row r="29" spans="1:10" s="2" customFormat="1" ht="15" customHeight="1">
      <c r="A29" s="408" t="s">
        <v>442</v>
      </c>
      <c r="B29" s="408"/>
      <c r="C29" s="408"/>
      <c r="D29" s="408"/>
      <c r="E29" s="408"/>
      <c r="F29" s="408"/>
      <c r="G29" s="19">
        <v>20</v>
      </c>
      <c r="H29" s="23"/>
      <c r="I29" s="77"/>
      <c r="J29" s="77"/>
    </row>
    <row r="30" spans="1:10" s="2" customFormat="1" ht="13.5" customHeight="1">
      <c r="A30" s="408" t="s">
        <v>443</v>
      </c>
      <c r="B30" s="408"/>
      <c r="C30" s="408"/>
      <c r="D30" s="408"/>
      <c r="E30" s="408"/>
      <c r="F30" s="408"/>
      <c r="G30" s="19">
        <v>21</v>
      </c>
      <c r="H30" s="23"/>
      <c r="I30" s="77"/>
      <c r="J30" s="77"/>
    </row>
    <row r="31" spans="1:10" s="2" customFormat="1" ht="13.5" customHeight="1">
      <c r="A31" s="408" t="s">
        <v>444</v>
      </c>
      <c r="B31" s="408"/>
      <c r="C31" s="408"/>
      <c r="D31" s="408"/>
      <c r="E31" s="408"/>
      <c r="F31" s="408"/>
      <c r="G31" s="19">
        <v>22</v>
      </c>
      <c r="H31" s="23"/>
      <c r="I31" s="77"/>
      <c r="J31" s="77"/>
    </row>
    <row r="32" spans="1:10" s="2" customFormat="1" ht="13.5" customHeight="1">
      <c r="A32" s="408" t="s">
        <v>445</v>
      </c>
      <c r="B32" s="408"/>
      <c r="C32" s="408"/>
      <c r="D32" s="408"/>
      <c r="E32" s="408"/>
      <c r="F32" s="408"/>
      <c r="G32" s="19">
        <v>23</v>
      </c>
      <c r="H32" s="23"/>
      <c r="I32" s="77"/>
      <c r="J32" s="77"/>
    </row>
    <row r="33" spans="1:10" s="2" customFormat="1" ht="13.5" customHeight="1">
      <c r="A33" s="408" t="s">
        <v>446</v>
      </c>
      <c r="B33" s="408"/>
      <c r="C33" s="408"/>
      <c r="D33" s="408"/>
      <c r="E33" s="408"/>
      <c r="F33" s="408"/>
      <c r="G33" s="19">
        <v>24</v>
      </c>
      <c r="H33" s="23"/>
      <c r="I33" s="77"/>
      <c r="J33" s="77"/>
    </row>
    <row r="34" spans="1:10" s="2" customFormat="1" ht="15" customHeight="1">
      <c r="A34" s="409" t="s">
        <v>2119</v>
      </c>
      <c r="B34" s="409"/>
      <c r="C34" s="409"/>
      <c r="D34" s="409"/>
      <c r="E34" s="409"/>
      <c r="F34" s="409"/>
      <c r="G34" s="19">
        <v>25</v>
      </c>
      <c r="H34" s="23"/>
      <c r="I34" s="86">
        <f>SUM(I29:I33)</f>
        <v>0</v>
      </c>
      <c r="J34" s="86">
        <f>SUM(J29:J33)</f>
        <v>0</v>
      </c>
    </row>
    <row r="35" spans="1:10" s="2" customFormat="1" ht="15" customHeight="1">
      <c r="A35" s="459" t="s">
        <v>11</v>
      </c>
      <c r="B35" s="459"/>
      <c r="C35" s="459"/>
      <c r="D35" s="459"/>
      <c r="E35" s="459"/>
      <c r="F35" s="459"/>
      <c r="G35" s="21">
        <v>26</v>
      </c>
      <c r="H35" s="24"/>
      <c r="I35" s="87">
        <f>I28+I34</f>
        <v>0</v>
      </c>
      <c r="J35" s="87">
        <f>J28+J34</f>
        <v>0</v>
      </c>
    </row>
    <row r="36" spans="1:10" s="2" customFormat="1" ht="13.5" customHeight="1">
      <c r="A36" s="426" t="s">
        <v>2427</v>
      </c>
      <c r="B36" s="427"/>
      <c r="C36" s="427"/>
      <c r="D36" s="427"/>
      <c r="E36" s="427"/>
      <c r="F36" s="427"/>
      <c r="G36" s="427">
        <v>0</v>
      </c>
      <c r="H36" s="427"/>
      <c r="I36" s="427"/>
      <c r="J36" s="428"/>
    </row>
    <row r="37" spans="1:10" s="2" customFormat="1" ht="13.5" customHeight="1">
      <c r="A37" s="460" t="s">
        <v>447</v>
      </c>
      <c r="B37" s="460"/>
      <c r="C37" s="460"/>
      <c r="D37" s="460"/>
      <c r="E37" s="460"/>
      <c r="F37" s="460"/>
      <c r="G37" s="92">
        <v>27</v>
      </c>
      <c r="H37" s="124"/>
      <c r="I37" s="94"/>
      <c r="J37" s="94"/>
    </row>
    <row r="38" spans="1:10" s="2" customFormat="1" ht="24.75" customHeight="1">
      <c r="A38" s="385" t="s">
        <v>448</v>
      </c>
      <c r="B38" s="385"/>
      <c r="C38" s="385"/>
      <c r="D38" s="385"/>
      <c r="E38" s="385"/>
      <c r="F38" s="385"/>
      <c r="G38" s="19">
        <v>28</v>
      </c>
      <c r="H38" s="23"/>
      <c r="I38" s="77"/>
      <c r="J38" s="77"/>
    </row>
    <row r="39" spans="1:10" s="2" customFormat="1" ht="13.5" customHeight="1">
      <c r="A39" s="385" t="s">
        <v>449</v>
      </c>
      <c r="B39" s="385"/>
      <c r="C39" s="385"/>
      <c r="D39" s="385"/>
      <c r="E39" s="385"/>
      <c r="F39" s="385"/>
      <c r="G39" s="19">
        <v>29</v>
      </c>
      <c r="H39" s="23"/>
      <c r="I39" s="77"/>
      <c r="J39" s="77"/>
    </row>
    <row r="40" spans="1:10" s="2" customFormat="1" ht="13.5" customHeight="1">
      <c r="A40" s="385" t="s">
        <v>450</v>
      </c>
      <c r="B40" s="385"/>
      <c r="C40" s="385"/>
      <c r="D40" s="385"/>
      <c r="E40" s="385"/>
      <c r="F40" s="385"/>
      <c r="G40" s="19">
        <v>30</v>
      </c>
      <c r="H40" s="23"/>
      <c r="I40" s="77"/>
      <c r="J40" s="77"/>
    </row>
    <row r="41" spans="1:10" s="2" customFormat="1" ht="15" customHeight="1">
      <c r="A41" s="409" t="s">
        <v>451</v>
      </c>
      <c r="B41" s="409"/>
      <c r="C41" s="409"/>
      <c r="D41" s="409"/>
      <c r="E41" s="409"/>
      <c r="F41" s="409"/>
      <c r="G41" s="19">
        <v>31</v>
      </c>
      <c r="H41" s="23"/>
      <c r="I41" s="86">
        <f>SUM(I37:I40)</f>
        <v>0</v>
      </c>
      <c r="J41" s="86">
        <f>SUM(J37:J40)</f>
        <v>0</v>
      </c>
    </row>
    <row r="42" spans="1:10" s="2" customFormat="1" ht="25.5" customHeight="1">
      <c r="A42" s="385" t="s">
        <v>452</v>
      </c>
      <c r="B42" s="385"/>
      <c r="C42" s="385"/>
      <c r="D42" s="385"/>
      <c r="E42" s="385"/>
      <c r="F42" s="385"/>
      <c r="G42" s="19">
        <v>32</v>
      </c>
      <c r="H42" s="23"/>
      <c r="I42" s="77"/>
      <c r="J42" s="77"/>
    </row>
    <row r="43" spans="1:10" s="2" customFormat="1" ht="13.5" customHeight="1">
      <c r="A43" s="385" t="s">
        <v>453</v>
      </c>
      <c r="B43" s="385"/>
      <c r="C43" s="385"/>
      <c r="D43" s="385"/>
      <c r="E43" s="385"/>
      <c r="F43" s="385"/>
      <c r="G43" s="19">
        <v>33</v>
      </c>
      <c r="H43" s="23"/>
      <c r="I43" s="77"/>
      <c r="J43" s="77"/>
    </row>
    <row r="44" spans="1:10" s="2" customFormat="1" ht="13.5" customHeight="1">
      <c r="A44" s="385" t="s">
        <v>454</v>
      </c>
      <c r="B44" s="385"/>
      <c r="C44" s="385"/>
      <c r="D44" s="385"/>
      <c r="E44" s="385"/>
      <c r="F44" s="385"/>
      <c r="G44" s="19">
        <v>34</v>
      </c>
      <c r="H44" s="23"/>
      <c r="I44" s="77"/>
      <c r="J44" s="77"/>
    </row>
    <row r="45" spans="1:10" s="2" customFormat="1" ht="25.5" customHeight="1">
      <c r="A45" s="385" t="s">
        <v>2117</v>
      </c>
      <c r="B45" s="385"/>
      <c r="C45" s="385"/>
      <c r="D45" s="385"/>
      <c r="E45" s="385"/>
      <c r="F45" s="385"/>
      <c r="G45" s="19">
        <v>35</v>
      </c>
      <c r="H45" s="23"/>
      <c r="I45" s="77"/>
      <c r="J45" s="77"/>
    </row>
    <row r="46" spans="1:10" s="2" customFormat="1" ht="13.5" customHeight="1">
      <c r="A46" s="385" t="s">
        <v>455</v>
      </c>
      <c r="B46" s="385"/>
      <c r="C46" s="385"/>
      <c r="D46" s="385"/>
      <c r="E46" s="385"/>
      <c r="F46" s="385"/>
      <c r="G46" s="19">
        <v>36</v>
      </c>
      <c r="H46" s="23"/>
      <c r="I46" s="77"/>
      <c r="J46" s="77"/>
    </row>
    <row r="47" spans="1:10" s="2" customFormat="1" ht="15" customHeight="1">
      <c r="A47" s="409" t="s">
        <v>1835</v>
      </c>
      <c r="B47" s="409"/>
      <c r="C47" s="409"/>
      <c r="D47" s="409"/>
      <c r="E47" s="409"/>
      <c r="F47" s="409"/>
      <c r="G47" s="19">
        <v>37</v>
      </c>
      <c r="H47" s="23"/>
      <c r="I47" s="86">
        <f>SUM(I42:I46)</f>
        <v>0</v>
      </c>
      <c r="J47" s="86">
        <f>SUM(J42:J46)</f>
        <v>0</v>
      </c>
    </row>
    <row r="48" spans="1:10" s="2" customFormat="1" ht="15" customHeight="1">
      <c r="A48" s="413" t="s">
        <v>12</v>
      </c>
      <c r="B48" s="413"/>
      <c r="C48" s="413"/>
      <c r="D48" s="413"/>
      <c r="E48" s="413"/>
      <c r="F48" s="413"/>
      <c r="G48" s="19">
        <v>38</v>
      </c>
      <c r="H48" s="23"/>
      <c r="I48" s="86">
        <f>I41+I47</f>
        <v>0</v>
      </c>
      <c r="J48" s="86">
        <f>J41+J47</f>
        <v>0</v>
      </c>
    </row>
    <row r="49" spans="1:10" s="2" customFormat="1" ht="13.5" customHeight="1">
      <c r="A49" s="408" t="s">
        <v>1833</v>
      </c>
      <c r="B49" s="408"/>
      <c r="C49" s="408"/>
      <c r="D49" s="408"/>
      <c r="E49" s="408"/>
      <c r="F49" s="408"/>
      <c r="G49" s="19">
        <v>39</v>
      </c>
      <c r="H49" s="23"/>
      <c r="I49" s="77"/>
      <c r="J49" s="77"/>
    </row>
    <row r="50" spans="1:10" s="2" customFormat="1" ht="25.5" customHeight="1">
      <c r="A50" s="413" t="s">
        <v>1834</v>
      </c>
      <c r="B50" s="413"/>
      <c r="C50" s="413"/>
      <c r="D50" s="413"/>
      <c r="E50" s="413"/>
      <c r="F50" s="413"/>
      <c r="G50" s="19">
        <v>40</v>
      </c>
      <c r="H50" s="23"/>
      <c r="I50" s="86">
        <f>I20+I35+I48+I49</f>
        <v>0</v>
      </c>
      <c r="J50" s="86">
        <f>J20+J35+J48+J49</f>
        <v>0</v>
      </c>
    </row>
    <row r="51" spans="1:10" s="2" customFormat="1" ht="13.5" customHeight="1">
      <c r="A51" s="413" t="s">
        <v>2429</v>
      </c>
      <c r="B51" s="413"/>
      <c r="C51" s="413"/>
      <c r="D51" s="413"/>
      <c r="E51" s="413"/>
      <c r="F51" s="413"/>
      <c r="G51" s="19">
        <v>41</v>
      </c>
      <c r="H51" s="23"/>
      <c r="I51" s="77"/>
      <c r="J51" s="77"/>
    </row>
    <row r="52" spans="1:10" s="2" customFormat="1" ht="13.5" customHeight="1">
      <c r="A52" s="459" t="s">
        <v>13</v>
      </c>
      <c r="B52" s="459"/>
      <c r="C52" s="459"/>
      <c r="D52" s="459"/>
      <c r="E52" s="459"/>
      <c r="F52" s="459"/>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33" activePane="bottomLeft" state="frozen"/>
      <selection pane="topLeft" activeCell="A1" sqref="A1"/>
      <selection pane="bottomLeft" activeCell="X60" sqref="X60"/>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8" t="s">
        <v>1703</v>
      </c>
      <c r="B2" s="478"/>
      <c r="C2" s="478"/>
      <c r="D2" s="478"/>
      <c r="E2" s="478"/>
      <c r="F2" s="478"/>
      <c r="G2" s="479"/>
      <c r="H2" s="479"/>
      <c r="I2" s="135"/>
      <c r="J2" s="135"/>
      <c r="K2" s="135"/>
      <c r="L2" s="135"/>
      <c r="M2" s="135"/>
      <c r="N2" s="135"/>
      <c r="O2" s="136"/>
      <c r="P2" s="389" t="s">
        <v>2596</v>
      </c>
      <c r="Q2" s="468"/>
      <c r="R2" s="468"/>
      <c r="S2" s="468"/>
      <c r="T2" s="468"/>
      <c r="U2" s="468"/>
      <c r="V2" s="468"/>
      <c r="W2" s="469"/>
      <c r="X2" s="389" t="s">
        <v>2596</v>
      </c>
      <c r="AA2" s="3">
        <f>IF(OR(MAX(H10:X32)&lt;&gt;0,MIN(H10:X32)&lt;&gt;0),1,0)</f>
        <v>1</v>
      </c>
      <c r="AB2" s="3" t="s">
        <v>2598</v>
      </c>
    </row>
    <row r="3" spans="1:28" s="3" customFormat="1" ht="19.5" customHeight="1" thickBot="1">
      <c r="A3" s="480" t="str">
        <f>"za razdoblje od "&amp;IF(RefStr!C4&lt;&gt;"",TEXT(RefStr!C4,"DD.MM.YYYY."),"__.__.____.")&amp;" do "&amp;IF(RefStr!F4&lt;&gt;"",TEXT(RefStr!F4,"DD.MM.YYYY."),"__.__.____.")</f>
        <v>za razdoblje od 01.01.2017. do 31.12.2017.</v>
      </c>
      <c r="B3" s="480"/>
      <c r="C3" s="480"/>
      <c r="D3" s="480"/>
      <c r="E3" s="480"/>
      <c r="F3" s="480"/>
      <c r="G3" s="481"/>
      <c r="H3" s="481"/>
      <c r="I3" s="135"/>
      <c r="J3" s="135"/>
      <c r="K3" s="135"/>
      <c r="L3" s="135"/>
      <c r="M3" s="135"/>
      <c r="N3" s="135"/>
      <c r="O3" s="136"/>
      <c r="P3" s="437"/>
      <c r="Q3" s="468"/>
      <c r="R3" s="468"/>
      <c r="S3" s="468"/>
      <c r="T3" s="468"/>
      <c r="U3" s="468"/>
      <c r="V3" s="468"/>
      <c r="W3" s="469"/>
      <c r="X3" s="477"/>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3" t="str">
        <f>"Obveznik: "&amp;IF(RefStr!C27&lt;&gt;"",RefStr!C27,"________")&amp;"; "&amp;IF(RefStr!C29&lt;&gt;"",RefStr!C29,"________________________________________________________"&amp;"; "&amp;IF(RefStr!F31&lt;&gt;"",RefStr!F31,"_______________"))</f>
        <v>Obveznik: 77317840351; VODOVOD d.o.o.</v>
      </c>
      <c r="B5" s="474"/>
      <c r="C5" s="474"/>
      <c r="D5" s="474"/>
      <c r="E5" s="474"/>
      <c r="F5" s="474"/>
      <c r="G5" s="474"/>
      <c r="H5" s="474"/>
      <c r="I5" s="474"/>
      <c r="J5" s="474"/>
      <c r="K5" s="474"/>
      <c r="L5" s="474"/>
      <c r="M5" s="474"/>
      <c r="N5" s="474"/>
      <c r="O5" s="475"/>
      <c r="P5" s="475"/>
      <c r="Q5" s="475"/>
      <c r="R5" s="475"/>
      <c r="S5" s="475"/>
      <c r="T5" s="475"/>
      <c r="U5" s="475"/>
      <c r="V5" s="475"/>
      <c r="W5" s="475"/>
      <c r="X5" s="476"/>
      <c r="AA5" s="3">
        <f>IF(OR(MAX(W10:W32)&lt;&gt;0,MIN(W10:W32)&lt;&gt;0),1,0)</f>
        <v>0</v>
      </c>
      <c r="AB5" s="16" t="s">
        <v>2894</v>
      </c>
    </row>
    <row r="6" spans="1:28" s="3" customFormat="1" ht="15" customHeight="1" thickBot="1">
      <c r="A6" s="455" t="s">
        <v>782</v>
      </c>
      <c r="B6" s="483"/>
      <c r="C6" s="483"/>
      <c r="D6" s="483"/>
      <c r="E6" s="483"/>
      <c r="F6" s="483"/>
      <c r="G6" s="456" t="s">
        <v>799</v>
      </c>
      <c r="H6" s="401" t="s">
        <v>1968</v>
      </c>
      <c r="I6" s="456" t="s">
        <v>780</v>
      </c>
      <c r="J6" s="456"/>
      <c r="K6" s="456"/>
      <c r="L6" s="456"/>
      <c r="M6" s="456"/>
      <c r="N6" s="456"/>
      <c r="O6" s="456"/>
      <c r="P6" s="456"/>
      <c r="Q6" s="456"/>
      <c r="R6" s="456"/>
      <c r="S6" s="456"/>
      <c r="T6" s="456"/>
      <c r="U6" s="456"/>
      <c r="V6" s="456"/>
      <c r="W6" s="456" t="s">
        <v>2599</v>
      </c>
      <c r="X6" s="463" t="s">
        <v>781</v>
      </c>
      <c r="AA6" s="3">
        <f>IF(OR(MAX(W38:W60)&lt;&gt;0,MIN(W38:W60)&lt;&gt;0),1,0)</f>
        <v>0</v>
      </c>
      <c r="AB6" s="16" t="s">
        <v>404</v>
      </c>
    </row>
    <row r="7" spans="1:28" s="3" customFormat="1" ht="57" thickBot="1">
      <c r="A7" s="484"/>
      <c r="B7" s="485"/>
      <c r="C7" s="485"/>
      <c r="D7" s="485"/>
      <c r="E7" s="485"/>
      <c r="F7" s="485"/>
      <c r="G7" s="465"/>
      <c r="H7" s="465"/>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5"/>
      <c r="X7" s="464"/>
      <c r="AA7" s="3">
        <f>IF(RefStr!N19="MSFI",1,0)</f>
        <v>0</v>
      </c>
      <c r="AB7" s="16" t="s">
        <v>134</v>
      </c>
    </row>
    <row r="8" spans="1:24" s="3" customFormat="1" ht="23.25" customHeight="1">
      <c r="A8" s="486">
        <v>1</v>
      </c>
      <c r="B8" s="487"/>
      <c r="C8" s="487"/>
      <c r="D8" s="487"/>
      <c r="E8" s="487"/>
      <c r="F8" s="487"/>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0" t="s">
        <v>783</v>
      </c>
      <c r="B9" s="470"/>
      <c r="C9" s="470"/>
      <c r="D9" s="470"/>
      <c r="E9" s="470"/>
      <c r="F9" s="470"/>
      <c r="G9" s="470"/>
      <c r="H9" s="470"/>
      <c r="I9" s="470"/>
      <c r="J9" s="470"/>
      <c r="K9" s="470"/>
      <c r="L9" s="470"/>
      <c r="M9" s="470"/>
      <c r="N9" s="470"/>
      <c r="O9" s="471"/>
      <c r="P9" s="471"/>
      <c r="Q9" s="471"/>
      <c r="R9" s="471"/>
      <c r="S9" s="471"/>
      <c r="T9" s="471"/>
      <c r="U9" s="471"/>
      <c r="V9" s="471"/>
      <c r="W9" s="471"/>
      <c r="X9" s="472"/>
      <c r="AB9" s="138"/>
      <c r="AC9" s="139"/>
      <c r="AD9" s="138"/>
      <c r="AE9" s="139"/>
    </row>
    <row r="10" spans="1:31" s="3" customFormat="1" ht="13.5" customHeight="1">
      <c r="A10" s="466" t="s">
        <v>1461</v>
      </c>
      <c r="B10" s="466"/>
      <c r="C10" s="466"/>
      <c r="D10" s="466"/>
      <c r="E10" s="466"/>
      <c r="F10" s="466"/>
      <c r="G10" s="204">
        <v>1</v>
      </c>
      <c r="H10" s="132"/>
      <c r="I10" s="25">
        <v>30891800</v>
      </c>
      <c r="J10" s="25"/>
      <c r="K10" s="25"/>
      <c r="L10" s="25"/>
      <c r="M10" s="25"/>
      <c r="N10" s="25"/>
      <c r="O10" s="25"/>
      <c r="P10" s="25"/>
      <c r="Q10" s="25"/>
      <c r="R10" s="25"/>
      <c r="S10" s="25"/>
      <c r="T10" s="25"/>
      <c r="U10" s="25"/>
      <c r="V10" s="207">
        <f>SUM(I10:L10)-M10+SUM(N10:U10)</f>
        <v>30891800</v>
      </c>
      <c r="W10" s="25"/>
      <c r="X10" s="207">
        <f>W10+V10</f>
        <v>30891800</v>
      </c>
      <c r="AB10" s="139"/>
      <c r="AC10" s="139"/>
      <c r="AD10" s="139"/>
      <c r="AE10" s="139"/>
    </row>
    <row r="11" spans="1:31" s="3" customFormat="1" ht="13.5" customHeight="1">
      <c r="A11" s="467" t="s">
        <v>1462</v>
      </c>
      <c r="B11" s="467"/>
      <c r="C11" s="467"/>
      <c r="D11" s="467"/>
      <c r="E11" s="467"/>
      <c r="F11" s="467"/>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7" t="s">
        <v>1463</v>
      </c>
      <c r="B12" s="467"/>
      <c r="C12" s="467"/>
      <c r="D12" s="467"/>
      <c r="E12" s="467"/>
      <c r="F12" s="467"/>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6" t="s">
        <v>1464</v>
      </c>
      <c r="B13" s="466"/>
      <c r="C13" s="466"/>
      <c r="D13" s="466"/>
      <c r="E13" s="466"/>
      <c r="F13" s="466"/>
      <c r="G13" s="204">
        <v>4</v>
      </c>
      <c r="H13" s="132"/>
      <c r="I13" s="207">
        <f>SUM(I10:I12)</f>
        <v>30891800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30891800</v>
      </c>
      <c r="W13" s="207">
        <f>SUM(W10:W12)</f>
        <v>0</v>
      </c>
      <c r="X13" s="207">
        <f t="shared" si="1"/>
        <v>30891800</v>
      </c>
      <c r="AB13" s="140"/>
      <c r="AC13" s="140"/>
      <c r="AD13" s="140"/>
      <c r="AE13" s="139"/>
    </row>
    <row r="14" spans="1:31" s="3" customFormat="1" ht="13.5" customHeight="1">
      <c r="A14" s="467" t="s">
        <v>1465</v>
      </c>
      <c r="B14" s="467"/>
      <c r="C14" s="467"/>
      <c r="D14" s="467"/>
      <c r="E14" s="467"/>
      <c r="F14" s="467"/>
      <c r="G14" s="204">
        <v>5</v>
      </c>
      <c r="H14" s="132"/>
      <c r="I14" s="217"/>
      <c r="J14" s="217"/>
      <c r="K14" s="217"/>
      <c r="L14" s="217"/>
      <c r="M14" s="217"/>
      <c r="N14" s="217"/>
      <c r="O14" s="217"/>
      <c r="P14" s="217"/>
      <c r="Q14" s="217"/>
      <c r="R14" s="217"/>
      <c r="S14" s="217"/>
      <c r="T14" s="217"/>
      <c r="U14" s="25">
        <v>5304770</v>
      </c>
      <c r="V14" s="207">
        <f t="shared" si="0"/>
        <v>5304770</v>
      </c>
      <c r="W14" s="25"/>
      <c r="X14" s="207">
        <f t="shared" si="1"/>
        <v>5304770</v>
      </c>
      <c r="AB14" s="140"/>
      <c r="AC14" s="140"/>
      <c r="AD14" s="140"/>
      <c r="AE14" s="139"/>
    </row>
    <row r="15" spans="1:31" s="3" customFormat="1" ht="13.5" customHeight="1">
      <c r="A15" s="467" t="s">
        <v>1466</v>
      </c>
      <c r="B15" s="467"/>
      <c r="C15" s="467"/>
      <c r="D15" s="467"/>
      <c r="E15" s="467"/>
      <c r="F15" s="467"/>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7" t="s">
        <v>1467</v>
      </c>
      <c r="B16" s="467"/>
      <c r="C16" s="467"/>
      <c r="D16" s="467"/>
      <c r="E16" s="467"/>
      <c r="F16" s="467"/>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7" t="s">
        <v>1468</v>
      </c>
      <c r="B17" s="467"/>
      <c r="C17" s="467"/>
      <c r="D17" s="467"/>
      <c r="E17" s="467"/>
      <c r="F17" s="467"/>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7" t="s">
        <v>1469</v>
      </c>
      <c r="B18" s="467"/>
      <c r="C18" s="467"/>
      <c r="D18" s="467"/>
      <c r="E18" s="467"/>
      <c r="F18" s="467"/>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7" t="s">
        <v>1470</v>
      </c>
      <c r="B19" s="467"/>
      <c r="C19" s="467"/>
      <c r="D19" s="467"/>
      <c r="E19" s="467"/>
      <c r="F19" s="467"/>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7" t="s">
        <v>1471</v>
      </c>
      <c r="B20" s="467"/>
      <c r="C20" s="467"/>
      <c r="D20" s="467"/>
      <c r="E20" s="467"/>
      <c r="F20" s="467"/>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7" t="s">
        <v>825</v>
      </c>
      <c r="B21" s="467"/>
      <c r="C21" s="467"/>
      <c r="D21" s="467"/>
      <c r="E21" s="467"/>
      <c r="F21" s="467"/>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7" t="s">
        <v>826</v>
      </c>
      <c r="B22" s="467"/>
      <c r="C22" s="467"/>
      <c r="D22" s="467"/>
      <c r="E22" s="467"/>
      <c r="F22" s="467"/>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7" t="s">
        <v>827</v>
      </c>
      <c r="B23" s="467"/>
      <c r="C23" s="467"/>
      <c r="D23" s="467"/>
      <c r="E23" s="467"/>
      <c r="F23" s="467"/>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7" t="s">
        <v>828</v>
      </c>
      <c r="B24" s="467"/>
      <c r="C24" s="467"/>
      <c r="D24" s="467"/>
      <c r="E24" s="467"/>
      <c r="F24" s="467"/>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7" t="s">
        <v>829</v>
      </c>
      <c r="B25" s="467"/>
      <c r="C25" s="467"/>
      <c r="D25" s="467"/>
      <c r="E25" s="467"/>
      <c r="F25" s="467"/>
      <c r="G25" s="204">
        <v>16</v>
      </c>
      <c r="H25" s="132"/>
      <c r="I25" s="25"/>
      <c r="J25" s="25"/>
      <c r="K25" s="25"/>
      <c r="L25" s="25"/>
      <c r="M25" s="25"/>
      <c r="N25" s="25"/>
      <c r="O25" s="25">
        <v>1659</v>
      </c>
      <c r="P25" s="25"/>
      <c r="Q25" s="25"/>
      <c r="R25" s="25"/>
      <c r="S25" s="25"/>
      <c r="T25" s="25"/>
      <c r="U25" s="25"/>
      <c r="V25" s="207">
        <f t="shared" si="0"/>
        <v>1659</v>
      </c>
      <c r="W25" s="25"/>
      <c r="X25" s="207">
        <f t="shared" si="1"/>
        <v>1659</v>
      </c>
      <c r="AB25" s="139"/>
      <c r="AC25" s="134"/>
    </row>
    <row r="26" spans="1:29" s="3" customFormat="1" ht="24.75" customHeight="1">
      <c r="A26" s="467" t="s">
        <v>830</v>
      </c>
      <c r="B26" s="467"/>
      <c r="C26" s="467"/>
      <c r="D26" s="467"/>
      <c r="E26" s="467"/>
      <c r="F26" s="467"/>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7" t="s">
        <v>831</v>
      </c>
      <c r="B27" s="467"/>
      <c r="C27" s="467"/>
      <c r="D27" s="467"/>
      <c r="E27" s="467"/>
      <c r="F27" s="467"/>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7" t="s">
        <v>832</v>
      </c>
      <c r="B28" s="467"/>
      <c r="C28" s="467"/>
      <c r="D28" s="467"/>
      <c r="E28" s="467"/>
      <c r="F28" s="467"/>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7" t="s">
        <v>833</v>
      </c>
      <c r="B29" s="467"/>
      <c r="C29" s="467"/>
      <c r="D29" s="467"/>
      <c r="E29" s="467"/>
      <c r="F29" s="467"/>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7" t="s">
        <v>834</v>
      </c>
      <c r="B30" s="467"/>
      <c r="C30" s="467"/>
      <c r="D30" s="467"/>
      <c r="E30" s="467"/>
      <c r="F30" s="467"/>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7" t="s">
        <v>835</v>
      </c>
      <c r="B31" s="467"/>
      <c r="C31" s="467"/>
      <c r="D31" s="467"/>
      <c r="E31" s="467"/>
      <c r="F31" s="467"/>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2" t="s">
        <v>2562</v>
      </c>
      <c r="B32" s="482"/>
      <c r="C32" s="482"/>
      <c r="D32" s="482"/>
      <c r="E32" s="482"/>
      <c r="F32" s="482"/>
      <c r="G32" s="205">
        <v>23</v>
      </c>
      <c r="H32" s="133"/>
      <c r="I32" s="206">
        <f>SUM(I13:I31)</f>
        <v>30891800</v>
      </c>
      <c r="J32" s="206">
        <f aca="true" t="shared" si="3" ref="J32:U32">SUM(J13:J31)</f>
        <v>0</v>
      </c>
      <c r="K32" s="206">
        <f t="shared" si="3"/>
        <v>0</v>
      </c>
      <c r="L32" s="206">
        <f t="shared" si="3"/>
        <v>0</v>
      </c>
      <c r="M32" s="206">
        <f t="shared" si="3"/>
        <v>0</v>
      </c>
      <c r="N32" s="206">
        <f t="shared" si="3"/>
        <v>0</v>
      </c>
      <c r="O32" s="206">
        <f t="shared" si="3"/>
        <v>1659</v>
      </c>
      <c r="P32" s="206">
        <f t="shared" si="3"/>
        <v>0</v>
      </c>
      <c r="Q32" s="206">
        <f t="shared" si="3"/>
        <v>0</v>
      </c>
      <c r="R32" s="206">
        <f t="shared" si="3"/>
        <v>0</v>
      </c>
      <c r="S32" s="206">
        <f t="shared" si="3"/>
        <v>0</v>
      </c>
      <c r="T32" s="206">
        <f t="shared" si="3"/>
        <v>0</v>
      </c>
      <c r="U32" s="206">
        <f t="shared" si="3"/>
        <v>5304770</v>
      </c>
      <c r="V32" s="206">
        <f t="shared" si="0"/>
        <v>36198229</v>
      </c>
      <c r="W32" s="206">
        <f>SUM(W13:W31)</f>
        <v>0</v>
      </c>
      <c r="X32" s="206">
        <f t="shared" si="1"/>
        <v>36198229</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88" t="s">
        <v>2558</v>
      </c>
      <c r="B34" s="488"/>
      <c r="C34" s="488"/>
      <c r="D34" s="488"/>
      <c r="E34" s="488"/>
      <c r="F34" s="488"/>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8" t="s">
        <v>2559</v>
      </c>
      <c r="B35" s="488"/>
      <c r="C35" s="488"/>
      <c r="D35" s="488"/>
      <c r="E35" s="488"/>
      <c r="F35" s="488"/>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9" t="s">
        <v>2563</v>
      </c>
      <c r="B36" s="489"/>
      <c r="C36" s="489"/>
      <c r="D36" s="489"/>
      <c r="E36" s="489"/>
      <c r="F36" s="489"/>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AB37" s="138"/>
      <c r="AC37" s="139"/>
      <c r="AD37" s="138"/>
      <c r="AE37" s="139"/>
    </row>
    <row r="38" spans="1:28" ht="13.5" customHeight="1">
      <c r="A38" s="466" t="s">
        <v>836</v>
      </c>
      <c r="B38" s="466"/>
      <c r="C38" s="466"/>
      <c r="D38" s="466"/>
      <c r="E38" s="466"/>
      <c r="F38" s="466"/>
      <c r="G38" s="204">
        <v>27</v>
      </c>
      <c r="H38" s="132"/>
      <c r="I38" s="25">
        <v>36191800</v>
      </c>
      <c r="J38" s="25"/>
      <c r="K38" s="25"/>
      <c r="L38" s="25"/>
      <c r="M38" s="25"/>
      <c r="N38" s="25"/>
      <c r="O38" s="25"/>
      <c r="P38" s="25"/>
      <c r="Q38" s="25"/>
      <c r="R38" s="25"/>
      <c r="S38" s="25"/>
      <c r="T38" s="25"/>
      <c r="U38" s="25"/>
      <c r="V38" s="207">
        <f aca="true" t="shared" si="10" ref="V38:V60">SUM(I38:L38)-M38+SUM(N38:U38)</f>
        <v>36191800</v>
      </c>
      <c r="W38" s="25"/>
      <c r="X38" s="207">
        <f t="shared" si="1"/>
        <v>36191800</v>
      </c>
      <c r="AB38" s="139"/>
    </row>
    <row r="39" spans="1:28" ht="13.5" customHeight="1">
      <c r="A39" s="467" t="s">
        <v>1462</v>
      </c>
      <c r="B39" s="467"/>
      <c r="C39" s="467"/>
      <c r="D39" s="467"/>
      <c r="E39" s="467"/>
      <c r="F39" s="467"/>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7" t="s">
        <v>1463</v>
      </c>
      <c r="B40" s="467"/>
      <c r="C40" s="467"/>
      <c r="D40" s="467"/>
      <c r="E40" s="467"/>
      <c r="F40" s="467"/>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6" t="s">
        <v>837</v>
      </c>
      <c r="B41" s="466"/>
      <c r="C41" s="466"/>
      <c r="D41" s="466"/>
      <c r="E41" s="466"/>
      <c r="F41" s="466"/>
      <c r="G41" s="204">
        <v>30</v>
      </c>
      <c r="H41" s="132"/>
      <c r="I41" s="207">
        <f aca="true" t="shared" si="11" ref="I41:U41">SUM(I38:I40)</f>
        <v>36191800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36191800</v>
      </c>
      <c r="W41" s="207">
        <f>SUM(W38:W40)</f>
        <v>0</v>
      </c>
      <c r="X41" s="207">
        <f>W41+V41</f>
        <v>36191800</v>
      </c>
      <c r="AE41" s="139"/>
    </row>
    <row r="42" spans="1:31" ht="13.5" customHeight="1">
      <c r="A42" s="467" t="s">
        <v>1465</v>
      </c>
      <c r="B42" s="467"/>
      <c r="C42" s="467"/>
      <c r="D42" s="467"/>
      <c r="E42" s="467"/>
      <c r="F42" s="467"/>
      <c r="G42" s="204">
        <v>31</v>
      </c>
      <c r="H42" s="132"/>
      <c r="I42" s="217"/>
      <c r="J42" s="217"/>
      <c r="K42" s="217"/>
      <c r="L42" s="217"/>
      <c r="M42" s="217"/>
      <c r="N42" s="217"/>
      <c r="O42" s="217"/>
      <c r="P42" s="217"/>
      <c r="Q42" s="217"/>
      <c r="R42" s="217"/>
      <c r="S42" s="217"/>
      <c r="T42" s="217"/>
      <c r="U42" s="25">
        <v>173514</v>
      </c>
      <c r="V42" s="207">
        <f t="shared" si="10"/>
        <v>173514</v>
      </c>
      <c r="W42" s="25"/>
      <c r="X42" s="207">
        <f t="shared" si="1"/>
        <v>173514</v>
      </c>
      <c r="AE42" s="139"/>
    </row>
    <row r="43" spans="1:24" ht="13.5" customHeight="1">
      <c r="A43" s="467" t="s">
        <v>1466</v>
      </c>
      <c r="B43" s="467"/>
      <c r="C43" s="467"/>
      <c r="D43" s="467"/>
      <c r="E43" s="467"/>
      <c r="F43" s="467"/>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7" t="s">
        <v>838</v>
      </c>
      <c r="B44" s="467"/>
      <c r="C44" s="467"/>
      <c r="D44" s="467"/>
      <c r="E44" s="467"/>
      <c r="F44" s="467"/>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7" t="s">
        <v>1468</v>
      </c>
      <c r="B45" s="467"/>
      <c r="C45" s="467"/>
      <c r="D45" s="467"/>
      <c r="E45" s="467"/>
      <c r="F45" s="467"/>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7" t="s">
        <v>1469</v>
      </c>
      <c r="B46" s="467"/>
      <c r="C46" s="467"/>
      <c r="D46" s="467"/>
      <c r="E46" s="467"/>
      <c r="F46" s="467"/>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7" t="s">
        <v>1470</v>
      </c>
      <c r="B47" s="467"/>
      <c r="C47" s="467"/>
      <c r="D47" s="467"/>
      <c r="E47" s="467"/>
      <c r="F47" s="467"/>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7" t="s">
        <v>839</v>
      </c>
      <c r="B48" s="467"/>
      <c r="C48" s="467"/>
      <c r="D48" s="467"/>
      <c r="E48" s="467"/>
      <c r="F48" s="467"/>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7" t="s">
        <v>825</v>
      </c>
      <c r="B49" s="467"/>
      <c r="C49" s="467"/>
      <c r="D49" s="467"/>
      <c r="E49" s="467"/>
      <c r="F49" s="467"/>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7" t="s">
        <v>826</v>
      </c>
      <c r="B50" s="467"/>
      <c r="C50" s="467"/>
      <c r="D50" s="467"/>
      <c r="E50" s="467"/>
      <c r="F50" s="467"/>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7" t="s">
        <v>827</v>
      </c>
      <c r="B51" s="467"/>
      <c r="C51" s="467"/>
      <c r="D51" s="467"/>
      <c r="E51" s="467"/>
      <c r="F51" s="467"/>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7" t="s">
        <v>840</v>
      </c>
      <c r="B52" s="467"/>
      <c r="C52" s="467"/>
      <c r="D52" s="467"/>
      <c r="E52" s="467"/>
      <c r="F52" s="467"/>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7" t="s">
        <v>829</v>
      </c>
      <c r="B53" s="467"/>
      <c r="C53" s="467"/>
      <c r="D53" s="467"/>
      <c r="E53" s="467"/>
      <c r="F53" s="467"/>
      <c r="G53" s="204">
        <v>42</v>
      </c>
      <c r="H53" s="132"/>
      <c r="I53" s="25"/>
      <c r="J53" s="25"/>
      <c r="K53" s="25"/>
      <c r="L53" s="25"/>
      <c r="M53" s="25"/>
      <c r="N53" s="25"/>
      <c r="O53" s="25">
        <v>6429</v>
      </c>
      <c r="P53" s="25"/>
      <c r="Q53" s="25"/>
      <c r="R53" s="25"/>
      <c r="S53" s="25"/>
      <c r="T53" s="25"/>
      <c r="U53" s="25"/>
      <c r="V53" s="207">
        <f t="shared" si="10"/>
        <v>6429</v>
      </c>
      <c r="W53" s="25"/>
      <c r="X53" s="207">
        <f t="shared" si="1"/>
        <v>6429</v>
      </c>
      <c r="AE53" s="139"/>
    </row>
    <row r="54" spans="1:31" ht="24.75" customHeight="1">
      <c r="A54" s="467" t="s">
        <v>841</v>
      </c>
      <c r="B54" s="467"/>
      <c r="C54" s="467"/>
      <c r="D54" s="467"/>
      <c r="E54" s="467"/>
      <c r="F54" s="467"/>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7" t="s">
        <v>831</v>
      </c>
      <c r="B55" s="467"/>
      <c r="C55" s="467"/>
      <c r="D55" s="467"/>
      <c r="E55" s="467"/>
      <c r="F55" s="467"/>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7" t="s">
        <v>832</v>
      </c>
      <c r="B56" s="467"/>
      <c r="C56" s="467"/>
      <c r="D56" s="467"/>
      <c r="E56" s="467"/>
      <c r="F56" s="467"/>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7" t="s">
        <v>833</v>
      </c>
      <c r="B57" s="467"/>
      <c r="C57" s="467"/>
      <c r="D57" s="467"/>
      <c r="E57" s="467"/>
      <c r="F57" s="467"/>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7" t="s">
        <v>834</v>
      </c>
      <c r="B58" s="467"/>
      <c r="C58" s="467"/>
      <c r="D58" s="467"/>
      <c r="E58" s="467"/>
      <c r="F58" s="467"/>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7" t="s">
        <v>835</v>
      </c>
      <c r="B59" s="467"/>
      <c r="C59" s="467"/>
      <c r="D59" s="467"/>
      <c r="E59" s="467"/>
      <c r="F59" s="467"/>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2" t="s">
        <v>842</v>
      </c>
      <c r="B60" s="482"/>
      <c r="C60" s="482"/>
      <c r="D60" s="482"/>
      <c r="E60" s="482"/>
      <c r="F60" s="482"/>
      <c r="G60" s="205">
        <v>49</v>
      </c>
      <c r="H60" s="133"/>
      <c r="I60" s="206">
        <f aca="true" t="shared" si="12" ref="I60:U60">SUM(I41:I59)</f>
        <v>36191800</v>
      </c>
      <c r="J60" s="206">
        <f t="shared" si="12"/>
        <v>0</v>
      </c>
      <c r="K60" s="206">
        <f t="shared" si="12"/>
        <v>0</v>
      </c>
      <c r="L60" s="206">
        <f t="shared" si="12"/>
        <v>0</v>
      </c>
      <c r="M60" s="206">
        <f t="shared" si="12"/>
        <v>0</v>
      </c>
      <c r="N60" s="206">
        <f t="shared" si="12"/>
        <v>0</v>
      </c>
      <c r="O60" s="206">
        <f t="shared" si="12"/>
        <v>6429</v>
      </c>
      <c r="P60" s="206">
        <f t="shared" si="12"/>
        <v>0</v>
      </c>
      <c r="Q60" s="206">
        <f t="shared" si="12"/>
        <v>0</v>
      </c>
      <c r="R60" s="206">
        <f t="shared" si="12"/>
        <v>0</v>
      </c>
      <c r="S60" s="206">
        <f t="shared" si="12"/>
        <v>0</v>
      </c>
      <c r="T60" s="206">
        <f t="shared" si="12"/>
        <v>0</v>
      </c>
      <c r="U60" s="206">
        <f t="shared" si="12"/>
        <v>173514</v>
      </c>
      <c r="V60" s="206">
        <f t="shared" si="10"/>
        <v>36371743</v>
      </c>
      <c r="W60" s="206">
        <f>SUM(W41:W59)</f>
        <v>0</v>
      </c>
      <c r="X60" s="206">
        <f t="shared" si="1"/>
        <v>36371743</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88" t="s">
        <v>2560</v>
      </c>
      <c r="B62" s="488"/>
      <c r="C62" s="488"/>
      <c r="D62" s="488"/>
      <c r="E62" s="488"/>
      <c r="F62" s="488"/>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8" t="s">
        <v>2244</v>
      </c>
      <c r="B63" s="488"/>
      <c r="C63" s="488"/>
      <c r="D63" s="488"/>
      <c r="E63" s="488"/>
      <c r="F63" s="488"/>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9" t="s">
        <v>2561</v>
      </c>
      <c r="B64" s="489"/>
      <c r="C64" s="489"/>
      <c r="D64" s="489"/>
      <c r="E64" s="489"/>
      <c r="F64" s="489"/>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Marko</cp:lastModifiedBy>
  <cp:lastPrinted>2018-05-04T11:05:17Z</cp:lastPrinted>
  <dcterms:created xsi:type="dcterms:W3CDTF">2008-10-17T11:51:54Z</dcterms:created>
  <dcterms:modified xsi:type="dcterms:W3CDTF">2018-05-04T11:35:57Z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